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Windows\Desktop\"/>
    </mc:Choice>
  </mc:AlternateContent>
  <bookViews>
    <workbookView xWindow="0" yWindow="45" windowWidth="19440" windowHeight="10545"/>
  </bookViews>
  <sheets>
    <sheet name="Input" sheetId="3" r:id="rId1"/>
    <sheet name="Calculation" sheetId="5" state="veryHidden" r:id="rId2"/>
    <sheet name="Calc corp tax comb" sheetId="7" state="veryHidden" r:id="rId3"/>
    <sheet name="MSW" sheetId="8" state="veryHidden" r:id="rId4"/>
    <sheet name="Combinations (Summary)" sheetId="9" state="veryHidden" r:id="rId5"/>
    <sheet name="Data for summary" sheetId="11" state="veryHidden" r:id="rId6"/>
    <sheet name="hidden" sheetId="12" state="veryHidden" r:id="rId7"/>
  </sheets>
  <definedNames>
    <definedName name="_xlnm.Print_Area" localSheetId="0">Input!$A$3:$M$69</definedName>
  </definedNames>
  <calcPr calcId="162913"/>
</workbook>
</file>

<file path=xl/calcChain.xml><?xml version="1.0" encoding="utf-8"?>
<calcChain xmlns="http://schemas.openxmlformats.org/spreadsheetml/2006/main">
  <c r="CX8" i="5" l="1"/>
  <c r="CS8" i="5"/>
  <c r="T77" i="5" l="1"/>
  <c r="CV34" i="5" l="1"/>
  <c r="CV33" i="5"/>
  <c r="CJ34" i="5"/>
  <c r="CJ33" i="5"/>
  <c r="BX34" i="5"/>
  <c r="BX33" i="5"/>
  <c r="BL34" i="5"/>
  <c r="BL33" i="5"/>
  <c r="AZ34" i="5"/>
  <c r="AZ33" i="5"/>
  <c r="AN34" i="5"/>
  <c r="AN33" i="5"/>
  <c r="CX54" i="5" l="1"/>
  <c r="CS54" i="5"/>
  <c r="CX36" i="5"/>
  <c r="CS36" i="5"/>
  <c r="CL54" i="5"/>
  <c r="CG54" i="5"/>
  <c r="CL36" i="5"/>
  <c r="CG36" i="5"/>
  <c r="BZ54" i="5"/>
  <c r="BU54" i="5"/>
  <c r="BZ36" i="5"/>
  <c r="BU36" i="5"/>
  <c r="BN36" i="5"/>
  <c r="BN54" i="5"/>
  <c r="BI54" i="5"/>
  <c r="BI36" i="5"/>
  <c r="BB54" i="5"/>
  <c r="Y54" i="5"/>
  <c r="AD54" i="5"/>
  <c r="AK54" i="5"/>
  <c r="AP54" i="5"/>
  <c r="AW54" i="5"/>
  <c r="BB36" i="5"/>
  <c r="AW36" i="5"/>
  <c r="AP36" i="5"/>
  <c r="AK36" i="5"/>
  <c r="AD36" i="5"/>
  <c r="Y36" i="5"/>
  <c r="Y8" i="5"/>
  <c r="L26" i="3"/>
  <c r="L31" i="3" s="1"/>
  <c r="K26" i="3"/>
  <c r="K31" i="3" s="1"/>
  <c r="J26" i="3"/>
  <c r="J31" i="3" s="1"/>
  <c r="I26" i="3"/>
  <c r="I31" i="3" s="1"/>
  <c r="H26" i="3"/>
  <c r="H31" i="3" s="1"/>
  <c r="G26" i="3"/>
  <c r="G31" i="3" s="1"/>
  <c r="CX17" i="5"/>
  <c r="CS17" i="5"/>
  <c r="CL17" i="5"/>
  <c r="CG17" i="5"/>
  <c r="BZ17" i="5"/>
  <c r="BU17" i="5"/>
  <c r="BN17" i="5"/>
  <c r="BI17" i="5"/>
  <c r="BB17" i="5"/>
  <c r="AW17" i="5"/>
  <c r="AP17" i="5"/>
  <c r="AK17" i="5"/>
  <c r="AD17" i="5"/>
  <c r="Y17" i="5"/>
  <c r="CX37" i="5"/>
  <c r="CS37" i="5"/>
  <c r="CS10" i="5"/>
  <c r="CS32" i="5" s="1"/>
  <c r="H33" i="7"/>
  <c r="CV63" i="5"/>
  <c r="CX63" i="5" s="1"/>
  <c r="CV62" i="5"/>
  <c r="CU62" i="5"/>
  <c r="CP62" i="5"/>
  <c r="CV60" i="5"/>
  <c r="CU60" i="5"/>
  <c r="CQ60" i="5"/>
  <c r="CP60" i="5"/>
  <c r="CV59" i="5"/>
  <c r="CU59" i="5"/>
  <c r="CQ59" i="5"/>
  <c r="CP59" i="5"/>
  <c r="CX55" i="5"/>
  <c r="CS55" i="5"/>
  <c r="CW53" i="5"/>
  <c r="CV53" i="5"/>
  <c r="CR53" i="5"/>
  <c r="CQ53" i="5"/>
  <c r="CW47" i="5"/>
  <c r="CU47" i="5"/>
  <c r="CR47" i="5"/>
  <c r="CP47" i="5"/>
  <c r="CW46" i="5"/>
  <c r="CU46" i="5"/>
  <c r="CR46" i="5"/>
  <c r="CP46" i="5"/>
  <c r="CW45" i="5"/>
  <c r="CU45" i="5"/>
  <c r="CR45" i="5"/>
  <c r="CP45" i="5"/>
  <c r="CW44" i="5"/>
  <c r="CU44" i="5"/>
  <c r="CR44" i="5"/>
  <c r="CP44" i="5"/>
  <c r="CW43" i="5"/>
  <c r="CV43" i="5"/>
  <c r="CU43" i="5"/>
  <c r="CR43" i="5"/>
  <c r="CQ43" i="5"/>
  <c r="CP43" i="5"/>
  <c r="CX34" i="5"/>
  <c r="CU33" i="5"/>
  <c r="CP33" i="5"/>
  <c r="CX32" i="5"/>
  <c r="CV32" i="5"/>
  <c r="CU32" i="5"/>
  <c r="CQ32" i="5"/>
  <c r="CP32" i="5"/>
  <c r="CU31" i="5"/>
  <c r="CP31" i="5"/>
  <c r="CW26" i="5"/>
  <c r="CU26" i="5"/>
  <c r="CR26" i="5"/>
  <c r="CP26" i="5"/>
  <c r="CW25" i="5"/>
  <c r="CU25" i="5"/>
  <c r="CR25" i="5"/>
  <c r="CP25" i="5"/>
  <c r="CW24" i="5"/>
  <c r="CU24" i="5"/>
  <c r="CR24" i="5"/>
  <c r="CP24" i="5"/>
  <c r="CW23" i="5"/>
  <c r="CU23" i="5"/>
  <c r="CR23" i="5"/>
  <c r="CP23" i="5"/>
  <c r="CW22" i="5"/>
  <c r="CV22" i="5"/>
  <c r="CU22" i="5"/>
  <c r="CR22" i="5"/>
  <c r="CQ22" i="5"/>
  <c r="CP22" i="5"/>
  <c r="CU15" i="5"/>
  <c r="CP15" i="5"/>
  <c r="CU4" i="5"/>
  <c r="CP4" i="5"/>
  <c r="M24" i="3"/>
  <c r="M21" i="3"/>
  <c r="M20" i="3"/>
  <c r="CI62" i="5"/>
  <c r="CD62" i="5"/>
  <c r="BW62" i="5"/>
  <c r="BR62" i="5"/>
  <c r="BK62" i="5"/>
  <c r="BF62" i="5"/>
  <c r="AY62" i="5"/>
  <c r="AT62" i="5"/>
  <c r="AM62" i="5"/>
  <c r="AH62" i="5"/>
  <c r="CJ60" i="5"/>
  <c r="CI60" i="5"/>
  <c r="CJ59" i="5"/>
  <c r="CI59" i="5"/>
  <c r="CE60" i="5"/>
  <c r="CD60" i="5"/>
  <c r="CE59" i="5"/>
  <c r="CD59" i="5"/>
  <c r="BX60" i="5"/>
  <c r="BW60" i="5"/>
  <c r="BX59" i="5"/>
  <c r="BW59" i="5"/>
  <c r="BS60" i="5"/>
  <c r="BR60" i="5"/>
  <c r="BS59" i="5"/>
  <c r="BR59" i="5"/>
  <c r="BL60" i="5"/>
  <c r="BK60" i="5"/>
  <c r="BL59" i="5"/>
  <c r="BK59" i="5"/>
  <c r="BG60" i="5"/>
  <c r="BF60" i="5"/>
  <c r="BG59" i="5"/>
  <c r="BF59" i="5"/>
  <c r="AZ60" i="5"/>
  <c r="AY60" i="5"/>
  <c r="AZ59" i="5"/>
  <c r="AY59" i="5"/>
  <c r="AU60" i="5"/>
  <c r="AT60" i="5"/>
  <c r="AU59" i="5"/>
  <c r="AT59" i="5"/>
  <c r="AN60" i="5"/>
  <c r="AM60" i="5"/>
  <c r="AN59" i="5"/>
  <c r="AM59" i="5"/>
  <c r="AI60" i="5"/>
  <c r="AI59" i="5"/>
  <c r="AH60" i="5"/>
  <c r="AH59" i="5"/>
  <c r="CK53" i="5"/>
  <c r="CJ53" i="5"/>
  <c r="CF53" i="5"/>
  <c r="CE53" i="5"/>
  <c r="BY53" i="5"/>
  <c r="BX53" i="5"/>
  <c r="BT53" i="5"/>
  <c r="BS53" i="5"/>
  <c r="BM53" i="5"/>
  <c r="BL53" i="5"/>
  <c r="BH53" i="5"/>
  <c r="BG53" i="5"/>
  <c r="BA53" i="5"/>
  <c r="AZ53" i="5"/>
  <c r="AV53" i="5"/>
  <c r="AU53" i="5"/>
  <c r="AO53" i="5"/>
  <c r="AN53" i="5"/>
  <c r="AJ53" i="5"/>
  <c r="AI53" i="5"/>
  <c r="CK47" i="5"/>
  <c r="CI47" i="5"/>
  <c r="CK46" i="5"/>
  <c r="CI46" i="5"/>
  <c r="CK45" i="5"/>
  <c r="CI45" i="5"/>
  <c r="CK44" i="5"/>
  <c r="CI44" i="5"/>
  <c r="CK43" i="5"/>
  <c r="CJ43" i="5"/>
  <c r="CI43" i="5"/>
  <c r="CF47" i="5"/>
  <c r="CD47" i="5"/>
  <c r="CF46" i="5"/>
  <c r="CD46" i="5"/>
  <c r="CF45" i="5"/>
  <c r="CD45" i="5"/>
  <c r="CF44" i="5"/>
  <c r="CD44" i="5"/>
  <c r="CF43" i="5"/>
  <c r="CE43" i="5"/>
  <c r="CD43" i="5"/>
  <c r="BY47" i="5"/>
  <c r="BW47" i="5"/>
  <c r="BY46" i="5"/>
  <c r="BW46" i="5"/>
  <c r="BY45" i="5"/>
  <c r="BW45" i="5"/>
  <c r="BY44" i="5"/>
  <c r="BW44" i="5"/>
  <c r="BY43" i="5"/>
  <c r="BX43" i="5"/>
  <c r="BW43" i="5"/>
  <c r="BT47" i="5"/>
  <c r="BR47" i="5"/>
  <c r="BT46" i="5"/>
  <c r="BR46" i="5"/>
  <c r="BT45" i="5"/>
  <c r="BR45" i="5"/>
  <c r="BT44" i="5"/>
  <c r="BR44" i="5"/>
  <c r="BT43" i="5"/>
  <c r="BS43" i="5"/>
  <c r="BR43" i="5"/>
  <c r="BM47" i="5"/>
  <c r="BK47" i="5"/>
  <c r="BM46" i="5"/>
  <c r="BK46" i="5"/>
  <c r="BM45" i="5"/>
  <c r="BK45" i="5"/>
  <c r="BM44" i="5"/>
  <c r="BK44" i="5"/>
  <c r="BM43" i="5"/>
  <c r="BL43" i="5"/>
  <c r="BK43" i="5"/>
  <c r="BH47" i="5"/>
  <c r="BF47" i="5"/>
  <c r="BH46" i="5"/>
  <c r="BF46" i="5"/>
  <c r="BH45" i="5"/>
  <c r="BF45" i="5"/>
  <c r="BH44" i="5"/>
  <c r="BF44" i="5"/>
  <c r="BH43" i="5"/>
  <c r="BG43" i="5"/>
  <c r="BF43" i="5"/>
  <c r="BA47" i="5"/>
  <c r="AY47" i="5"/>
  <c r="BA46" i="5"/>
  <c r="AY46" i="5"/>
  <c r="BA45" i="5"/>
  <c r="AY45" i="5"/>
  <c r="BA44" i="5"/>
  <c r="AY44" i="5"/>
  <c r="BA43" i="5"/>
  <c r="AZ43" i="5"/>
  <c r="AY43" i="5"/>
  <c r="AV47" i="5"/>
  <c r="AT47" i="5"/>
  <c r="AV46" i="5"/>
  <c r="AT46" i="5"/>
  <c r="AV45" i="5"/>
  <c r="AT45" i="5"/>
  <c r="AV44" i="5"/>
  <c r="AT44" i="5"/>
  <c r="AV43" i="5"/>
  <c r="AU43" i="5"/>
  <c r="AT43" i="5"/>
  <c r="AO47" i="5"/>
  <c r="AM47" i="5"/>
  <c r="AO46" i="5"/>
  <c r="AM46" i="5"/>
  <c r="AO45" i="5"/>
  <c r="AM45" i="5"/>
  <c r="AO44" i="5"/>
  <c r="AM44" i="5"/>
  <c r="AO43" i="5"/>
  <c r="AN43" i="5"/>
  <c r="AM43" i="5"/>
  <c r="AJ47" i="5"/>
  <c r="AJ46" i="5"/>
  <c r="AJ45" i="5"/>
  <c r="AJ44" i="5"/>
  <c r="AJ43" i="5"/>
  <c r="AI43" i="5"/>
  <c r="AH47" i="5"/>
  <c r="AH46" i="5"/>
  <c r="AH45" i="5"/>
  <c r="AH44" i="5"/>
  <c r="AH43" i="5"/>
  <c r="CI33" i="5"/>
  <c r="CD33" i="5"/>
  <c r="BW33" i="5"/>
  <c r="BR33" i="5"/>
  <c r="BK33" i="5"/>
  <c r="BF33" i="5"/>
  <c r="AY33" i="5"/>
  <c r="AT33" i="5"/>
  <c r="AM33" i="5"/>
  <c r="AH33" i="5"/>
  <c r="AA33" i="5"/>
  <c r="CJ32" i="5"/>
  <c r="CI32" i="5"/>
  <c r="CI31" i="5"/>
  <c r="CE32" i="5"/>
  <c r="CD32" i="5"/>
  <c r="CD31" i="5"/>
  <c r="BX32" i="5"/>
  <c r="BW32" i="5"/>
  <c r="BW31" i="5"/>
  <c r="BS32" i="5"/>
  <c r="BR32" i="5"/>
  <c r="BR31" i="5"/>
  <c r="BL32" i="5"/>
  <c r="BK32" i="5"/>
  <c r="BK31" i="5"/>
  <c r="BG32" i="5"/>
  <c r="BF32" i="5"/>
  <c r="BF31" i="5"/>
  <c r="AZ32" i="5"/>
  <c r="AY32" i="5"/>
  <c r="AY31" i="5"/>
  <c r="AU32" i="5"/>
  <c r="AT32" i="5"/>
  <c r="AT31" i="5"/>
  <c r="AN32" i="5"/>
  <c r="AM32" i="5"/>
  <c r="AM31" i="5"/>
  <c r="AB32" i="5"/>
  <c r="AA32" i="5"/>
  <c r="AA31" i="5"/>
  <c r="AI32" i="5"/>
  <c r="AH32" i="5"/>
  <c r="AH31" i="5"/>
  <c r="CK26" i="5"/>
  <c r="CI26" i="5"/>
  <c r="CK25" i="5"/>
  <c r="CI25" i="5"/>
  <c r="CK24" i="5"/>
  <c r="CI24" i="5"/>
  <c r="CK23" i="5"/>
  <c r="CI23" i="5"/>
  <c r="CK22" i="5"/>
  <c r="CJ22" i="5"/>
  <c r="CI22" i="5"/>
  <c r="CF26" i="5"/>
  <c r="CD26" i="5"/>
  <c r="CF25" i="5"/>
  <c r="CD25" i="5"/>
  <c r="CF24" i="5"/>
  <c r="CD24" i="5"/>
  <c r="CF23" i="5"/>
  <c r="CD23" i="5"/>
  <c r="CF22" i="5"/>
  <c r="CE22" i="5"/>
  <c r="CD22" i="5"/>
  <c r="BY26" i="5"/>
  <c r="BW26" i="5"/>
  <c r="BY25" i="5"/>
  <c r="BW25" i="5"/>
  <c r="BY24" i="5"/>
  <c r="BW24" i="5"/>
  <c r="BY23" i="5"/>
  <c r="BW23" i="5"/>
  <c r="BY22" i="5"/>
  <c r="BX22" i="5"/>
  <c r="BW22" i="5"/>
  <c r="BT26" i="5"/>
  <c r="BR26" i="5"/>
  <c r="BT25" i="5"/>
  <c r="BR25" i="5"/>
  <c r="BT24" i="5"/>
  <c r="BR24" i="5"/>
  <c r="BT23" i="5"/>
  <c r="BR23" i="5"/>
  <c r="BT22" i="5"/>
  <c r="BS22" i="5"/>
  <c r="BR22" i="5"/>
  <c r="BM26" i="5"/>
  <c r="BK26" i="5"/>
  <c r="BM25" i="5"/>
  <c r="BK25" i="5"/>
  <c r="BM24" i="5"/>
  <c r="BK24" i="5"/>
  <c r="BM23" i="5"/>
  <c r="BK23" i="5"/>
  <c r="BM22" i="5"/>
  <c r="BL22" i="5"/>
  <c r="BK22" i="5"/>
  <c r="BH26" i="5"/>
  <c r="BF26" i="5"/>
  <c r="BH25" i="5"/>
  <c r="BF25" i="5"/>
  <c r="BH24" i="5"/>
  <c r="BF24" i="5"/>
  <c r="BH23" i="5"/>
  <c r="BF23" i="5"/>
  <c r="BH22" i="5"/>
  <c r="BG22" i="5"/>
  <c r="BF22" i="5"/>
  <c r="BA26" i="5"/>
  <c r="AY26" i="5"/>
  <c r="BA25" i="5"/>
  <c r="AY25" i="5"/>
  <c r="BA24" i="5"/>
  <c r="AY24" i="5"/>
  <c r="BA23" i="5"/>
  <c r="AY23" i="5"/>
  <c r="BA22" i="5"/>
  <c r="AZ22" i="5"/>
  <c r="AY22" i="5"/>
  <c r="AV26" i="5"/>
  <c r="AT26" i="5"/>
  <c r="AV25" i="5"/>
  <c r="AT25" i="5"/>
  <c r="AV24" i="5"/>
  <c r="AT24" i="5"/>
  <c r="AV23" i="5"/>
  <c r="AT23" i="5"/>
  <c r="AV22" i="5"/>
  <c r="AU22" i="5"/>
  <c r="AT22" i="5"/>
  <c r="AO26" i="5"/>
  <c r="AM26" i="5"/>
  <c r="AO25" i="5"/>
  <c r="AM25" i="5"/>
  <c r="AO24" i="5"/>
  <c r="AM24" i="5"/>
  <c r="AO23" i="5"/>
  <c r="AM23" i="5"/>
  <c r="AO22" i="5"/>
  <c r="AN22" i="5"/>
  <c r="AM22" i="5"/>
  <c r="AJ26" i="5"/>
  <c r="AJ25" i="5"/>
  <c r="AJ24" i="5"/>
  <c r="AJ23" i="5"/>
  <c r="AJ22" i="5"/>
  <c r="AI22" i="5"/>
  <c r="AH26" i="5"/>
  <c r="AH25" i="5"/>
  <c r="AH24" i="5"/>
  <c r="AH23" i="5"/>
  <c r="AH22" i="5"/>
  <c r="AA62" i="5"/>
  <c r="AA63" i="5"/>
  <c r="V62" i="5"/>
  <c r="V63" i="5"/>
  <c r="AA59" i="5"/>
  <c r="AB59" i="5"/>
  <c r="AA60" i="5"/>
  <c r="AB60" i="5"/>
  <c r="V59" i="5"/>
  <c r="W59" i="5"/>
  <c r="V60" i="5"/>
  <c r="W60" i="5"/>
  <c r="AB53" i="5"/>
  <c r="AC53" i="5"/>
  <c r="W53" i="5"/>
  <c r="X53" i="5"/>
  <c r="AA43" i="5"/>
  <c r="AB43" i="5"/>
  <c r="AC43" i="5"/>
  <c r="AA44" i="5"/>
  <c r="AC44" i="5"/>
  <c r="AA45" i="5"/>
  <c r="AC45" i="5"/>
  <c r="AA46" i="5"/>
  <c r="AC46" i="5"/>
  <c r="AA47" i="5"/>
  <c r="AC47" i="5"/>
  <c r="V43" i="5"/>
  <c r="W43" i="5"/>
  <c r="X43" i="5"/>
  <c r="V44" i="5"/>
  <c r="X44" i="5"/>
  <c r="V45" i="5"/>
  <c r="X45" i="5"/>
  <c r="V46" i="5"/>
  <c r="X46" i="5"/>
  <c r="V47" i="5"/>
  <c r="X47" i="5"/>
  <c r="V33" i="5"/>
  <c r="V31" i="5"/>
  <c r="V32" i="5"/>
  <c r="W32" i="5"/>
  <c r="V22" i="5"/>
  <c r="W22" i="5"/>
  <c r="X22" i="5"/>
  <c r="V23" i="5"/>
  <c r="X23" i="5"/>
  <c r="V24" i="5"/>
  <c r="X24" i="5"/>
  <c r="V25" i="5"/>
  <c r="X25" i="5"/>
  <c r="V26" i="5"/>
  <c r="X26" i="5"/>
  <c r="Q62" i="5"/>
  <c r="Q59" i="5"/>
  <c r="R59" i="5"/>
  <c r="Q60" i="5"/>
  <c r="R60" i="5"/>
  <c r="R53" i="5"/>
  <c r="S53" i="5"/>
  <c r="Q43" i="5"/>
  <c r="R43" i="5"/>
  <c r="S43" i="5"/>
  <c r="Q44" i="5"/>
  <c r="S44" i="5"/>
  <c r="Q45" i="5"/>
  <c r="S45" i="5"/>
  <c r="Q46" i="5"/>
  <c r="S46" i="5"/>
  <c r="Q47" i="5"/>
  <c r="S47" i="5"/>
  <c r="R32" i="5"/>
  <c r="Q31" i="5"/>
  <c r="Q32" i="5"/>
  <c r="Q33" i="5"/>
  <c r="Q22" i="5"/>
  <c r="AA22" i="5" s="1"/>
  <c r="R22" i="5"/>
  <c r="AB22" i="5" s="1"/>
  <c r="S22" i="5"/>
  <c r="AC22" i="5" s="1"/>
  <c r="Q23" i="5"/>
  <c r="AA23" i="5" s="1"/>
  <c r="S23" i="5"/>
  <c r="AC23" i="5" s="1"/>
  <c r="Q24" i="5"/>
  <c r="AA24" i="5" s="1"/>
  <c r="S24" i="5"/>
  <c r="AC24" i="5" s="1"/>
  <c r="Q25" i="5"/>
  <c r="AA25" i="5" s="1"/>
  <c r="S25" i="5"/>
  <c r="AC25" i="5" s="1"/>
  <c r="Q26" i="5"/>
  <c r="AA26" i="5" s="1"/>
  <c r="S26" i="5"/>
  <c r="AC26" i="5" s="1"/>
  <c r="M53" i="5"/>
  <c r="N53" i="5"/>
  <c r="L43" i="5"/>
  <c r="M43" i="5"/>
  <c r="N43" i="5"/>
  <c r="L44" i="5"/>
  <c r="N44" i="5"/>
  <c r="L45" i="5"/>
  <c r="N45" i="5"/>
  <c r="L46" i="5"/>
  <c r="N46" i="5"/>
  <c r="L47" i="5"/>
  <c r="N47" i="5"/>
  <c r="M32" i="5"/>
  <c r="L31" i="5"/>
  <c r="L32" i="5"/>
  <c r="L33" i="5"/>
  <c r="L22" i="5"/>
  <c r="M22" i="5"/>
  <c r="N22" i="5"/>
  <c r="L23" i="5"/>
  <c r="N23" i="5"/>
  <c r="L24" i="5"/>
  <c r="N24" i="5"/>
  <c r="L25" i="5"/>
  <c r="N25" i="5"/>
  <c r="L26" i="5"/>
  <c r="N26" i="5"/>
  <c r="L62" i="5"/>
  <c r="L63" i="5"/>
  <c r="L59" i="5"/>
  <c r="M59" i="5"/>
  <c r="L60" i="5"/>
  <c r="M60" i="5"/>
  <c r="CX62" i="5" l="1"/>
  <c r="CX53" i="5"/>
  <c r="CS53" i="5"/>
  <c r="O53" i="5"/>
  <c r="T53" i="5"/>
  <c r="CX33" i="5"/>
  <c r="M26" i="3"/>
  <c r="CX19" i="5"/>
  <c r="H47" i="5"/>
  <c r="H46" i="5"/>
  <c r="H45" i="5"/>
  <c r="H44" i="5"/>
  <c r="J32" i="5"/>
  <c r="H26" i="5"/>
  <c r="H25" i="5"/>
  <c r="H24" i="5"/>
  <c r="H23" i="5"/>
  <c r="CX35" i="5" l="1"/>
  <c r="CV25" i="5"/>
  <c r="BS25" i="5"/>
  <c r="AU25" i="5"/>
  <c r="CQ25" i="5"/>
  <c r="CJ25" i="5"/>
  <c r="BL25" i="5"/>
  <c r="AN25" i="5"/>
  <c r="CE25" i="5"/>
  <c r="BG25" i="5"/>
  <c r="W25" i="5"/>
  <c r="BX25" i="5"/>
  <c r="AZ25" i="5"/>
  <c r="M25" i="5"/>
  <c r="AI25" i="5"/>
  <c r="R25" i="5"/>
  <c r="AB25" i="5" s="1"/>
  <c r="CE45" i="5"/>
  <c r="BG45" i="5"/>
  <c r="AI45" i="5"/>
  <c r="CV45" i="5"/>
  <c r="CX45" i="5" s="1"/>
  <c r="BX45" i="5"/>
  <c r="AZ45" i="5"/>
  <c r="W45" i="5"/>
  <c r="CQ45" i="5"/>
  <c r="BS45" i="5"/>
  <c r="AU45" i="5"/>
  <c r="M45" i="5"/>
  <c r="CJ45" i="5"/>
  <c r="BL45" i="5"/>
  <c r="AN45" i="5"/>
  <c r="R45" i="5"/>
  <c r="AB45" i="5"/>
  <c r="BX24" i="5"/>
  <c r="AZ24" i="5"/>
  <c r="BS24" i="5"/>
  <c r="AU24" i="5"/>
  <c r="M24" i="5"/>
  <c r="CV24" i="5"/>
  <c r="CJ24" i="5"/>
  <c r="BL24" i="5"/>
  <c r="AN24" i="5"/>
  <c r="CQ24" i="5"/>
  <c r="CE24" i="5"/>
  <c r="BG24" i="5"/>
  <c r="AI24" i="5"/>
  <c r="R24" i="5"/>
  <c r="AB24" i="5" s="1"/>
  <c r="W24" i="5"/>
  <c r="CQ44" i="5"/>
  <c r="CJ44" i="5"/>
  <c r="W44" i="5"/>
  <c r="CE44" i="5"/>
  <c r="BG44" i="5"/>
  <c r="M44" i="5"/>
  <c r="BX44" i="5"/>
  <c r="AZ44" i="5"/>
  <c r="R44" i="5"/>
  <c r="CV44" i="5"/>
  <c r="CX44" i="5" s="1"/>
  <c r="BS44" i="5"/>
  <c r="AU44" i="5"/>
  <c r="AI44" i="5"/>
  <c r="AB44" i="5"/>
  <c r="BL44" i="5"/>
  <c r="AN44" i="5"/>
  <c r="CV23" i="5"/>
  <c r="CX23" i="5" s="1"/>
  <c r="CE23" i="5"/>
  <c r="CQ23" i="5"/>
  <c r="BX23" i="5"/>
  <c r="AZ23" i="5"/>
  <c r="BS23" i="5"/>
  <c r="AU23" i="5"/>
  <c r="AI23" i="5"/>
  <c r="R23" i="5"/>
  <c r="AB23" i="5" s="1"/>
  <c r="CJ23" i="5"/>
  <c r="BL23" i="5"/>
  <c r="AN23" i="5"/>
  <c r="BG23" i="5"/>
  <c r="W23" i="5"/>
  <c r="M23" i="5"/>
  <c r="BS47" i="5"/>
  <c r="AU47" i="5"/>
  <c r="M47" i="5"/>
  <c r="CV47" i="5"/>
  <c r="CX47" i="5" s="1"/>
  <c r="CJ47" i="5"/>
  <c r="BL47" i="5"/>
  <c r="AN47" i="5"/>
  <c r="CQ47" i="5"/>
  <c r="CE47" i="5"/>
  <c r="BG47" i="5"/>
  <c r="AI47" i="5"/>
  <c r="AB47" i="5"/>
  <c r="BX47" i="5"/>
  <c r="AZ47" i="5"/>
  <c r="W47" i="5"/>
  <c r="R47" i="5"/>
  <c r="M26" i="5"/>
  <c r="R26" i="5"/>
  <c r="AB26" i="5" s="1"/>
  <c r="CE26" i="5"/>
  <c r="BG26" i="5"/>
  <c r="AI26" i="5"/>
  <c r="CV26" i="5"/>
  <c r="CX26" i="5" s="1"/>
  <c r="BX26" i="5"/>
  <c r="AZ26" i="5"/>
  <c r="CQ26" i="5"/>
  <c r="BS26" i="5"/>
  <c r="AU26" i="5"/>
  <c r="W26" i="5"/>
  <c r="CJ26" i="5"/>
  <c r="BL26" i="5"/>
  <c r="AN26" i="5"/>
  <c r="CQ46" i="5"/>
  <c r="BX46" i="5"/>
  <c r="BS46" i="5"/>
  <c r="AU46" i="5"/>
  <c r="AI46" i="5"/>
  <c r="AB46" i="5"/>
  <c r="CJ46" i="5"/>
  <c r="BL46" i="5"/>
  <c r="AN46" i="5"/>
  <c r="W46" i="5"/>
  <c r="CV46" i="5"/>
  <c r="CX46" i="5" s="1"/>
  <c r="CE46" i="5"/>
  <c r="BG46" i="5"/>
  <c r="M46" i="5"/>
  <c r="AZ46" i="5"/>
  <c r="R46" i="5"/>
  <c r="CX25" i="5"/>
  <c r="CX24" i="5"/>
  <c r="CX43" i="5"/>
  <c r="CX22" i="5"/>
  <c r="CI15" i="5"/>
  <c r="CD15" i="5"/>
  <c r="BW15" i="5"/>
  <c r="BR15" i="5"/>
  <c r="BK15" i="5"/>
  <c r="BF15" i="5"/>
  <c r="AT15" i="5"/>
  <c r="AM15" i="5"/>
  <c r="AH15" i="5"/>
  <c r="AA15" i="5"/>
  <c r="V15" i="5"/>
  <c r="Q15" i="5"/>
  <c r="L15" i="5"/>
  <c r="CV31" i="5" l="1"/>
  <c r="CX28" i="5"/>
  <c r="CX49" i="5"/>
  <c r="CX56" i="5" s="1"/>
  <c r="CX59" i="5" s="1"/>
  <c r="CI4" i="5"/>
  <c r="CD4" i="5"/>
  <c r="BW4" i="5"/>
  <c r="BR4" i="5"/>
  <c r="BK4" i="5"/>
  <c r="BF4" i="5"/>
  <c r="AY4" i="5"/>
  <c r="AT4" i="5"/>
  <c r="AM4" i="5"/>
  <c r="AH4" i="5"/>
  <c r="AA4" i="5"/>
  <c r="V4" i="5"/>
  <c r="Q4" i="5"/>
  <c r="L4" i="5"/>
  <c r="AD55" i="5"/>
  <c r="Y55" i="5"/>
  <c r="Y37" i="5"/>
  <c r="AD37" i="5"/>
  <c r="AD8" i="5"/>
  <c r="AD70" i="5"/>
  <c r="AD53" i="5"/>
  <c r="AD14" i="5"/>
  <c r="AD12" i="5"/>
  <c r="AD10" i="5"/>
  <c r="AD72" i="5" s="1"/>
  <c r="CG55" i="5"/>
  <c r="CL55" i="5"/>
  <c r="CG37" i="5"/>
  <c r="CL37" i="5"/>
  <c r="CL8" i="5"/>
  <c r="CG10" i="5"/>
  <c r="CG8" i="5"/>
  <c r="C3" i="9"/>
  <c r="C2" i="9"/>
  <c r="C1" i="9"/>
  <c r="B10" i="3"/>
  <c r="B9" i="3"/>
  <c r="AW8" i="5"/>
  <c r="BI8" i="5"/>
  <c r="BU8" i="5"/>
  <c r="AD13" i="5" l="1"/>
  <c r="AB34" i="5"/>
  <c r="AD74" i="5"/>
  <c r="CX60" i="5"/>
  <c r="CX65" i="5" s="1"/>
  <c r="AD15" i="5"/>
  <c r="AB62" i="5" s="1"/>
  <c r="AD62" i="5" s="1"/>
  <c r="AB63" i="5"/>
  <c r="AD63" i="5" s="1"/>
  <c r="AD93" i="5"/>
  <c r="AD32" i="5"/>
  <c r="AD34" i="5"/>
  <c r="BZ55" i="5"/>
  <c r="BU55" i="5"/>
  <c r="BN55" i="5"/>
  <c r="BI55" i="5"/>
  <c r="BB55" i="5"/>
  <c r="AW55" i="5"/>
  <c r="AP55" i="5"/>
  <c r="AK55" i="5"/>
  <c r="J53" i="5"/>
  <c r="BZ37" i="5"/>
  <c r="BU37" i="5"/>
  <c r="BN37" i="5"/>
  <c r="BI37" i="5"/>
  <c r="BB37" i="5"/>
  <c r="AW37" i="5"/>
  <c r="AP37" i="5"/>
  <c r="AK37" i="5"/>
  <c r="CL19" i="5"/>
  <c r="CJ62" i="5"/>
  <c r="CL62" i="5" s="1"/>
  <c r="CL53" i="5"/>
  <c r="CL33" i="5"/>
  <c r="CL32" i="5"/>
  <c r="BZ8" i="5"/>
  <c r="BZ19" i="5" s="1"/>
  <c r="BX62" i="5"/>
  <c r="BZ62" i="5" s="1"/>
  <c r="BZ53" i="5"/>
  <c r="BZ33" i="5"/>
  <c r="BZ32" i="5"/>
  <c r="BN8" i="5"/>
  <c r="BN19" i="5" s="1"/>
  <c r="BB8" i="5"/>
  <c r="BB19" i="5" s="1"/>
  <c r="BN53" i="5"/>
  <c r="BN33" i="5"/>
  <c r="BL62" i="5"/>
  <c r="BN62" i="5" s="1"/>
  <c r="BN32" i="5"/>
  <c r="AZ62" i="5"/>
  <c r="BB62" i="5" s="1"/>
  <c r="BB53" i="5"/>
  <c r="BB33" i="5"/>
  <c r="BB32" i="5"/>
  <c r="AP8" i="5"/>
  <c r="AP19" i="5" s="1"/>
  <c r="AK8" i="5"/>
  <c r="AP53" i="5"/>
  <c r="BZ35" i="5" l="1"/>
  <c r="BX31" i="5"/>
  <c r="AP35" i="5"/>
  <c r="AN31" i="5"/>
  <c r="CL35" i="5"/>
  <c r="CJ31" i="5"/>
  <c r="BB35" i="5"/>
  <c r="AZ31" i="5"/>
  <c r="BN35" i="5"/>
  <c r="BL31" i="5"/>
  <c r="AB33" i="5"/>
  <c r="AD33" i="5" s="1"/>
  <c r="CL26" i="5"/>
  <c r="CL25" i="5"/>
  <c r="BB25" i="5"/>
  <c r="BB26" i="5"/>
  <c r="BZ25" i="5"/>
  <c r="BZ26" i="5"/>
  <c r="BN26" i="5"/>
  <c r="BN25" i="5"/>
  <c r="AP25" i="5"/>
  <c r="AP26" i="5"/>
  <c r="AD19" i="5"/>
  <c r="AB31" i="5" s="1"/>
  <c r="CL34" i="5"/>
  <c r="CJ63" i="5"/>
  <c r="CL63" i="5" s="1"/>
  <c r="BZ34" i="5"/>
  <c r="BX63" i="5"/>
  <c r="BZ63" i="5" s="1"/>
  <c r="BN34" i="5"/>
  <c r="BL63" i="5"/>
  <c r="BN63" i="5" s="1"/>
  <c r="BB34" i="5"/>
  <c r="AZ63" i="5"/>
  <c r="BB63" i="5" s="1"/>
  <c r="BU10" i="5"/>
  <c r="BI10" i="5"/>
  <c r="AW10" i="5"/>
  <c r="AK10" i="5"/>
  <c r="G33" i="7"/>
  <c r="F33" i="7"/>
  <c r="E33" i="7"/>
  <c r="D33" i="7"/>
  <c r="C33" i="7"/>
  <c r="F3" i="7"/>
  <c r="B20" i="7" s="1"/>
  <c r="F2" i="7"/>
  <c r="F1" i="7"/>
  <c r="CG53" i="5"/>
  <c r="BU53" i="5"/>
  <c r="BI53" i="5"/>
  <c r="AW53" i="5"/>
  <c r="AK53" i="5"/>
  <c r="F2" i="5"/>
  <c r="F3" i="5"/>
  <c r="Y53" i="5"/>
  <c r="E53" i="5"/>
  <c r="C34" i="5"/>
  <c r="E34" i="5" s="1"/>
  <c r="C33" i="5"/>
  <c r="E33" i="5" s="1"/>
  <c r="O32" i="5"/>
  <c r="E32" i="5"/>
  <c r="E31" i="5"/>
  <c r="T15" i="5"/>
  <c r="J15" i="5"/>
  <c r="E15" i="5"/>
  <c r="C54" i="5" s="1"/>
  <c r="E54" i="5" s="1"/>
  <c r="T13" i="5"/>
  <c r="E13" i="5"/>
  <c r="F1" i="5"/>
  <c r="O76" i="5" l="1"/>
  <c r="G10" i="3" s="1"/>
  <c r="F43" i="7"/>
  <c r="J12" i="5"/>
  <c r="H62" i="5"/>
  <c r="J62" i="5" s="1"/>
  <c r="H33" i="5"/>
  <c r="J33" i="5" s="1"/>
  <c r="R63" i="5"/>
  <c r="T63" i="5" s="1"/>
  <c r="R34" i="5"/>
  <c r="T34" i="5" s="1"/>
  <c r="R62" i="5"/>
  <c r="T62" i="5" s="1"/>
  <c r="R33" i="5"/>
  <c r="T33" i="5" s="1"/>
  <c r="AD23" i="5"/>
  <c r="AD35" i="5"/>
  <c r="I33" i="7"/>
  <c r="AD46" i="5"/>
  <c r="AD44" i="5"/>
  <c r="AD43" i="5"/>
  <c r="AD26" i="5"/>
  <c r="AD25" i="5"/>
  <c r="AD22" i="5"/>
  <c r="AD24" i="5"/>
  <c r="AD47" i="5"/>
  <c r="AD45" i="5"/>
  <c r="AD89" i="5"/>
  <c r="O87" i="5"/>
  <c r="AD87" i="5"/>
  <c r="B8" i="7"/>
  <c r="B56" i="7"/>
  <c r="BI32" i="5"/>
  <c r="CG32" i="5"/>
  <c r="AW32" i="5"/>
  <c r="BU32" i="5"/>
  <c r="CL46" i="5"/>
  <c r="CL22" i="5"/>
  <c r="CL47" i="5"/>
  <c r="CL43" i="5"/>
  <c r="CL23" i="5"/>
  <c r="CL44" i="5"/>
  <c r="CL24" i="5"/>
  <c r="CL45" i="5"/>
  <c r="BZ46" i="5"/>
  <c r="BZ22" i="5"/>
  <c r="BZ47" i="5"/>
  <c r="BZ43" i="5"/>
  <c r="BZ23" i="5"/>
  <c r="BZ44" i="5"/>
  <c r="BZ24" i="5"/>
  <c r="BZ45" i="5"/>
  <c r="BN46" i="5"/>
  <c r="BN22" i="5"/>
  <c r="BN47" i="5"/>
  <c r="BN43" i="5"/>
  <c r="BN23" i="5"/>
  <c r="BN44" i="5"/>
  <c r="BN24" i="5"/>
  <c r="BN45" i="5"/>
  <c r="BB46" i="5"/>
  <c r="BB22" i="5"/>
  <c r="BB47" i="5"/>
  <c r="BB43" i="5"/>
  <c r="BB23" i="5"/>
  <c r="BB44" i="5"/>
  <c r="BB24" i="5"/>
  <c r="BB45" i="5"/>
  <c r="AK32" i="5"/>
  <c r="B19" i="3"/>
  <c r="Y70" i="5"/>
  <c r="Y89" i="5"/>
  <c r="O89" i="5"/>
  <c r="Y10" i="5"/>
  <c r="B10" i="7"/>
  <c r="B41" i="7"/>
  <c r="O77" i="5"/>
  <c r="G9" i="3" s="1"/>
  <c r="Y87" i="5"/>
  <c r="E38" i="5"/>
  <c r="T10" i="5"/>
  <c r="T19" i="5" s="1"/>
  <c r="R31" i="5" s="1"/>
  <c r="E19" i="5"/>
  <c r="J77" i="5" l="1"/>
  <c r="J13" i="5"/>
  <c r="O91" i="5"/>
  <c r="O12" i="5" s="1"/>
  <c r="B9" i="9"/>
  <c r="BB28" i="5"/>
  <c r="BN28" i="5"/>
  <c r="BZ28" i="5"/>
  <c r="CL28" i="5"/>
  <c r="AD28" i="5"/>
  <c r="T26" i="5"/>
  <c r="T24" i="5"/>
  <c r="T25" i="5"/>
  <c r="T22" i="5"/>
  <c r="T23" i="5"/>
  <c r="AD49" i="5"/>
  <c r="AD56" i="5" s="1"/>
  <c r="AD59" i="5" s="1"/>
  <c r="AD91" i="5"/>
  <c r="AD95" i="5" s="1"/>
  <c r="B43" i="7"/>
  <c r="F45" i="7"/>
  <c r="F47" i="7" s="1"/>
  <c r="CL49" i="5"/>
  <c r="CL56" i="5" s="1"/>
  <c r="BZ49" i="5"/>
  <c r="BZ56" i="5" s="1"/>
  <c r="BN49" i="5"/>
  <c r="BN56" i="5" s="1"/>
  <c r="BB49" i="5"/>
  <c r="BB56" i="5" s="1"/>
  <c r="AP32" i="5"/>
  <c r="Y32" i="5"/>
  <c r="Y72" i="5"/>
  <c r="Y74" i="5" s="1"/>
  <c r="B44" i="7"/>
  <c r="F41" i="7" s="1"/>
  <c r="B58" i="7"/>
  <c r="B60" i="7" s="1"/>
  <c r="B63" i="7" s="1"/>
  <c r="B12" i="7"/>
  <c r="B14" i="7" s="1"/>
  <c r="Y91" i="5"/>
  <c r="O13" i="5"/>
  <c r="M34" i="5" s="1"/>
  <c r="O78" i="5"/>
  <c r="E25" i="5"/>
  <c r="E24" i="5"/>
  <c r="E23" i="5"/>
  <c r="E22" i="5"/>
  <c r="E46" i="5"/>
  <c r="E45" i="5"/>
  <c r="E44" i="5"/>
  <c r="E43" i="5"/>
  <c r="T32" i="5"/>
  <c r="AD76" i="5" l="1"/>
  <c r="Y76" i="5"/>
  <c r="H34" i="5"/>
  <c r="J34" i="5" s="1"/>
  <c r="T28" i="5"/>
  <c r="AD60" i="5"/>
  <c r="AD65" i="5" s="1"/>
  <c r="Y77" i="5"/>
  <c r="B16" i="9" s="1"/>
  <c r="B17" i="9"/>
  <c r="B15" i="7"/>
  <c r="B23" i="3" s="1"/>
  <c r="B24" i="3"/>
  <c r="AD77" i="5"/>
  <c r="F49" i="7"/>
  <c r="F51" i="7" s="1"/>
  <c r="B64" i="7"/>
  <c r="J19" i="5"/>
  <c r="H31" i="5" s="1"/>
  <c r="CL59" i="5"/>
  <c r="CL60" i="5"/>
  <c r="BZ59" i="5"/>
  <c r="BZ60" i="5"/>
  <c r="BN59" i="5"/>
  <c r="BN60" i="5"/>
  <c r="BB59" i="5"/>
  <c r="BB60" i="5"/>
  <c r="B22" i="7"/>
  <c r="B24" i="7" s="1"/>
  <c r="H63" i="5"/>
  <c r="J63" i="5" s="1"/>
  <c r="O14" i="5"/>
  <c r="M63" i="5"/>
  <c r="O63" i="5" s="1"/>
  <c r="O34" i="5"/>
  <c r="O93" i="5"/>
  <c r="O95" i="5" s="1"/>
  <c r="H14" i="3" s="1"/>
  <c r="T43" i="5"/>
  <c r="T46" i="5"/>
  <c r="T45" i="5"/>
  <c r="T44" i="5"/>
  <c r="T47" i="5"/>
  <c r="E49" i="5"/>
  <c r="E56" i="5" s="1"/>
  <c r="E28" i="5"/>
  <c r="E40" i="5" s="1"/>
  <c r="F53" i="7" l="1"/>
  <c r="F55" i="7" s="1"/>
  <c r="BZ31" i="5"/>
  <c r="BZ38" i="5" s="1"/>
  <c r="BZ40" i="5" s="1"/>
  <c r="AP31" i="5"/>
  <c r="T31" i="5"/>
  <c r="T38" i="5" s="1"/>
  <c r="T40" i="5" s="1"/>
  <c r="AD31" i="5"/>
  <c r="AD38" i="5" s="1"/>
  <c r="AD40" i="5" s="1"/>
  <c r="AD67" i="5" s="1"/>
  <c r="AD80" i="5" s="1"/>
  <c r="AD82" i="5" s="1"/>
  <c r="CL31" i="5"/>
  <c r="CL38" i="5" s="1"/>
  <c r="CL40" i="5" s="1"/>
  <c r="BB31" i="5"/>
  <c r="BB38" i="5" s="1"/>
  <c r="BB40" i="5" s="1"/>
  <c r="CX31" i="5"/>
  <c r="CX38" i="5" s="1"/>
  <c r="CX40" i="5" s="1"/>
  <c r="CX67" i="5" s="1"/>
  <c r="BN31" i="5"/>
  <c r="BN38" i="5" s="1"/>
  <c r="BN40" i="5" s="1"/>
  <c r="J31" i="5"/>
  <c r="J38" i="5" s="1"/>
  <c r="C35" i="7"/>
  <c r="G22" i="3" s="1"/>
  <c r="H35" i="7"/>
  <c r="CS12" i="5" s="1"/>
  <c r="J47" i="5"/>
  <c r="J26" i="5"/>
  <c r="J25" i="5"/>
  <c r="AD78" i="5"/>
  <c r="B65" i="7"/>
  <c r="CL65" i="5"/>
  <c r="BZ65" i="5"/>
  <c r="BN65" i="5"/>
  <c r="BB65" i="5"/>
  <c r="Y78" i="5"/>
  <c r="B3" i="11"/>
  <c r="B16" i="7"/>
  <c r="D35" i="7"/>
  <c r="H22" i="3" s="1"/>
  <c r="G35" i="7"/>
  <c r="K22" i="3" s="1"/>
  <c r="E35" i="7"/>
  <c r="F35" i="7"/>
  <c r="J43" i="5"/>
  <c r="J46" i="5"/>
  <c r="J44" i="5"/>
  <c r="J22" i="5"/>
  <c r="J24" i="5"/>
  <c r="J23" i="5"/>
  <c r="J45" i="5"/>
  <c r="O15" i="5"/>
  <c r="O19" i="5" s="1"/>
  <c r="M31" i="5" s="1"/>
  <c r="O31" i="5" s="1"/>
  <c r="T49" i="5"/>
  <c r="T56" i="5" s="1"/>
  <c r="T59" i="5" s="1"/>
  <c r="E60" i="5"/>
  <c r="E59" i="5"/>
  <c r="BZ67" i="5" l="1"/>
  <c r="BN67" i="5"/>
  <c r="BB67" i="5"/>
  <c r="CL67" i="5"/>
  <c r="M33" i="5"/>
  <c r="O33" i="5" s="1"/>
  <c r="O38" i="5" s="1"/>
  <c r="BU12" i="5"/>
  <c r="J22" i="3"/>
  <c r="H36" i="7"/>
  <c r="L22" i="3"/>
  <c r="E36" i="7"/>
  <c r="I22" i="3"/>
  <c r="I35" i="7"/>
  <c r="C36" i="7"/>
  <c r="G23" i="3" s="1"/>
  <c r="AK12" i="5"/>
  <c r="CG12" i="5"/>
  <c r="O24" i="5"/>
  <c r="O25" i="5"/>
  <c r="O26" i="5"/>
  <c r="O22" i="5"/>
  <c r="O23" i="5"/>
  <c r="J28" i="5"/>
  <c r="J40" i="5" s="1"/>
  <c r="B50" i="7"/>
  <c r="B46" i="7"/>
  <c r="B48" i="7" s="1"/>
  <c r="B68" i="7"/>
  <c r="F21" i="3"/>
  <c r="F36" i="7"/>
  <c r="D36" i="7"/>
  <c r="AW12" i="5"/>
  <c r="G36" i="7"/>
  <c r="K23" i="3" s="1"/>
  <c r="BI12" i="5"/>
  <c r="J49" i="5"/>
  <c r="M62" i="5"/>
  <c r="O62" i="5" s="1"/>
  <c r="E65" i="5"/>
  <c r="E67" i="5" s="1"/>
  <c r="E80" i="5" s="1"/>
  <c r="T60" i="5"/>
  <c r="T65" i="5" s="1"/>
  <c r="T67" i="5" s="1"/>
  <c r="L23" i="3" l="1"/>
  <c r="CS14" i="5"/>
  <c r="BU13" i="5"/>
  <c r="BS63" i="5" s="1"/>
  <c r="BU63" i="5" s="1"/>
  <c r="M22" i="3"/>
  <c r="BU14" i="5"/>
  <c r="J23" i="3"/>
  <c r="AK14" i="5"/>
  <c r="AW14" i="5"/>
  <c r="H23" i="3"/>
  <c r="BI14" i="5"/>
  <c r="I23" i="3"/>
  <c r="AK13" i="5"/>
  <c r="AI34" i="5" s="1"/>
  <c r="AK34" i="5" s="1"/>
  <c r="CG14" i="5"/>
  <c r="CS13" i="5"/>
  <c r="CQ63" i="5" s="1"/>
  <c r="CS63" i="5" s="1"/>
  <c r="O28" i="5"/>
  <c r="B14" i="9"/>
  <c r="B54" i="7"/>
  <c r="C29" i="3"/>
  <c r="J56" i="5"/>
  <c r="J59" i="5" s="1"/>
  <c r="AN63" i="5"/>
  <c r="AP63" i="5" s="1"/>
  <c r="AP34" i="5"/>
  <c r="Y12" i="5"/>
  <c r="B26" i="7"/>
  <c r="B28" i="7" s="1"/>
  <c r="B20" i="3"/>
  <c r="CG13" i="5"/>
  <c r="CE34" i="5" s="1"/>
  <c r="CG34" i="5" s="1"/>
  <c r="BI13" i="5"/>
  <c r="BG34" i="5" s="1"/>
  <c r="BI34" i="5" s="1"/>
  <c r="AW13" i="5"/>
  <c r="AU34" i="5" s="1"/>
  <c r="AW34" i="5" s="1"/>
  <c r="I36" i="7"/>
  <c r="O45" i="5"/>
  <c r="O43" i="5"/>
  <c r="O47" i="5"/>
  <c r="O44" i="5"/>
  <c r="O46" i="5"/>
  <c r="T80" i="5"/>
  <c r="BU15" i="5" l="1"/>
  <c r="BS33" i="5" s="1"/>
  <c r="BU33" i="5" s="1"/>
  <c r="CG15" i="5"/>
  <c r="CE62" i="5" s="1"/>
  <c r="CG62" i="5" s="1"/>
  <c r="BS34" i="5"/>
  <c r="BU34" i="5" s="1"/>
  <c r="AW15" i="5"/>
  <c r="AU62" i="5" s="1"/>
  <c r="AW62" i="5" s="1"/>
  <c r="AK15" i="5"/>
  <c r="AI62" i="5" s="1"/>
  <c r="AK62" i="5" s="1"/>
  <c r="AI33" i="5"/>
  <c r="AK33" i="5" s="1"/>
  <c r="CQ34" i="5"/>
  <c r="CS34" i="5" s="1"/>
  <c r="B11" i="9"/>
  <c r="BI15" i="5"/>
  <c r="BG62" i="5" s="1"/>
  <c r="BI62" i="5" s="1"/>
  <c r="M23" i="3"/>
  <c r="AI63" i="5"/>
  <c r="AK63" i="5" s="1"/>
  <c r="CS15" i="5"/>
  <c r="CQ62" i="5" s="1"/>
  <c r="CS62" i="5" s="1"/>
  <c r="B72" i="7"/>
  <c r="B75" i="7" s="1"/>
  <c r="C33" i="3"/>
  <c r="J60" i="5"/>
  <c r="J65" i="5" s="1"/>
  <c r="J67" i="5" s="1"/>
  <c r="Y14" i="5"/>
  <c r="F20" i="3"/>
  <c r="Y13" i="5"/>
  <c r="W63" i="5" s="1"/>
  <c r="Y63" i="5" s="1"/>
  <c r="Y93" i="5"/>
  <c r="Y95" i="5" s="1"/>
  <c r="B21" i="3"/>
  <c r="BG63" i="5"/>
  <c r="BI63" i="5" s="1"/>
  <c r="CE63" i="5"/>
  <c r="CG63" i="5" s="1"/>
  <c r="AU63" i="5"/>
  <c r="AW63" i="5" s="1"/>
  <c r="O40" i="5"/>
  <c r="O49" i="5"/>
  <c r="O56" i="5" s="1"/>
  <c r="T82" i="5"/>
  <c r="B11" i="3"/>
  <c r="C12" i="3" s="1"/>
  <c r="BS62" i="5" l="1"/>
  <c r="BU62" i="5" s="1"/>
  <c r="AU33" i="5"/>
  <c r="AW33" i="5" s="1"/>
  <c r="CE33" i="5"/>
  <c r="CG33" i="5" s="1"/>
  <c r="BU19" i="5"/>
  <c r="CG19" i="5"/>
  <c r="CG35" i="5"/>
  <c r="CQ33" i="5"/>
  <c r="CS33" i="5" s="1"/>
  <c r="W34" i="5"/>
  <c r="Y34" i="5" s="1"/>
  <c r="AK19" i="5"/>
  <c r="G32" i="3" s="1"/>
  <c r="B12" i="9"/>
  <c r="B10" i="9" s="1"/>
  <c r="BG33" i="5"/>
  <c r="BI33" i="5" s="1"/>
  <c r="AW19" i="5"/>
  <c r="H32" i="3" s="1"/>
  <c r="BI19" i="5"/>
  <c r="CS19" i="5"/>
  <c r="L32" i="3" s="1"/>
  <c r="B74" i="7"/>
  <c r="C13" i="3"/>
  <c r="J80" i="5"/>
  <c r="J82" i="5" s="1"/>
  <c r="Y15" i="5"/>
  <c r="Y19" i="5" s="1"/>
  <c r="AP33" i="5"/>
  <c r="AP38" i="5" s="1"/>
  <c r="CG23" i="5"/>
  <c r="CG46" i="5"/>
  <c r="CG24" i="5"/>
  <c r="CG44" i="5"/>
  <c r="CG47" i="5"/>
  <c r="O59" i="5"/>
  <c r="O60" i="5"/>
  <c r="BG31" i="5" l="1"/>
  <c r="BI31" i="5" s="1"/>
  <c r="I32" i="3"/>
  <c r="BS31" i="5"/>
  <c r="BU31" i="5" s="1"/>
  <c r="J32" i="3"/>
  <c r="CG26" i="5"/>
  <c r="K32" i="3"/>
  <c r="AI31" i="5"/>
  <c r="AK31" i="5" s="1"/>
  <c r="CG43" i="5"/>
  <c r="CG25" i="5"/>
  <c r="CG45" i="5"/>
  <c r="CE31" i="5"/>
  <c r="CG31" i="5" s="1"/>
  <c r="CG38" i="5" s="1"/>
  <c r="CG22" i="5"/>
  <c r="CG28" i="5" s="1"/>
  <c r="BU22" i="5"/>
  <c r="BU26" i="5"/>
  <c r="BU44" i="5"/>
  <c r="BU45" i="5"/>
  <c r="BU47" i="5"/>
  <c r="BU24" i="5"/>
  <c r="BU43" i="5"/>
  <c r="BU23" i="5"/>
  <c r="BU25" i="5"/>
  <c r="BU46" i="5"/>
  <c r="BU35" i="5"/>
  <c r="BU38" i="5" s="1"/>
  <c r="AK26" i="5"/>
  <c r="AK46" i="5"/>
  <c r="AK44" i="5"/>
  <c r="AK24" i="5"/>
  <c r="AK22" i="5"/>
  <c r="AK43" i="5"/>
  <c r="AK23" i="5"/>
  <c r="AK47" i="5"/>
  <c r="AW35" i="5"/>
  <c r="AU31" i="5"/>
  <c r="AW31" i="5" s="1"/>
  <c r="AW45" i="5"/>
  <c r="AW47" i="5"/>
  <c r="AW43" i="5"/>
  <c r="Y35" i="5"/>
  <c r="W31" i="5"/>
  <c r="Y31" i="5" s="1"/>
  <c r="AW23" i="5"/>
  <c r="AK25" i="5"/>
  <c r="AW46" i="5"/>
  <c r="AW22" i="5"/>
  <c r="AK45" i="5"/>
  <c r="CS35" i="5"/>
  <c r="CQ31" i="5"/>
  <c r="CS31" i="5" s="1"/>
  <c r="AK35" i="5"/>
  <c r="AK38" i="5" s="1"/>
  <c r="AW25" i="5"/>
  <c r="W33" i="5"/>
  <c r="Y33" i="5" s="1"/>
  <c r="AW44" i="5"/>
  <c r="AW24" i="5"/>
  <c r="AW26" i="5"/>
  <c r="BI25" i="5"/>
  <c r="BI35" i="5"/>
  <c r="BI47" i="5"/>
  <c r="BI44" i="5"/>
  <c r="BI43" i="5"/>
  <c r="BI23" i="5"/>
  <c r="BI26" i="5"/>
  <c r="BI45" i="5"/>
  <c r="BI24" i="5"/>
  <c r="BI22" i="5"/>
  <c r="BI46" i="5"/>
  <c r="CS44" i="5"/>
  <c r="CS24" i="5"/>
  <c r="CS46" i="5"/>
  <c r="CS26" i="5"/>
  <c r="CS47" i="5"/>
  <c r="CS45" i="5"/>
  <c r="CS25" i="5"/>
  <c r="CS22" i="5"/>
  <c r="CS23" i="5"/>
  <c r="CS43" i="5"/>
  <c r="B77" i="7"/>
  <c r="B22" i="9" s="1"/>
  <c r="Y26" i="5"/>
  <c r="Y25" i="5"/>
  <c r="W62" i="5"/>
  <c r="Y62" i="5" s="1"/>
  <c r="AN62" i="5"/>
  <c r="AP62" i="5" s="1"/>
  <c r="AP46" i="5"/>
  <c r="AP23" i="5"/>
  <c r="AP43" i="5"/>
  <c r="AP45" i="5"/>
  <c r="AP47" i="5"/>
  <c r="AP24" i="5"/>
  <c r="AP22" i="5"/>
  <c r="AP44" i="5"/>
  <c r="Y45" i="5"/>
  <c r="Y44" i="5"/>
  <c r="Y24" i="5"/>
  <c r="Y23" i="5"/>
  <c r="Y22" i="5"/>
  <c r="Y47" i="5"/>
  <c r="Y46" i="5"/>
  <c r="Y43" i="5"/>
  <c r="O65" i="5"/>
  <c r="O67" i="5" s="1"/>
  <c r="O80" i="5" s="1"/>
  <c r="O82" i="5" s="1"/>
  <c r="BI38" i="5" l="1"/>
  <c r="CG49" i="5"/>
  <c r="CG56" i="5" s="1"/>
  <c r="CG60" i="5" s="1"/>
  <c r="CG40" i="5"/>
  <c r="BU49" i="5"/>
  <c r="BU56" i="5" s="1"/>
  <c r="BU60" i="5" s="1"/>
  <c r="BU28" i="5"/>
  <c r="BU40" i="5" s="1"/>
  <c r="Y38" i="5"/>
  <c r="AK49" i="5"/>
  <c r="AK56" i="5" s="1"/>
  <c r="AK59" i="5" s="1"/>
  <c r="AW38" i="5"/>
  <c r="AW28" i="5"/>
  <c r="AW49" i="5"/>
  <c r="AW56" i="5" s="1"/>
  <c r="AW59" i="5" s="1"/>
  <c r="AK28" i="5"/>
  <c r="AK40" i="5" s="1"/>
  <c r="CS38" i="5"/>
  <c r="BI49" i="5"/>
  <c r="BI56" i="5" s="1"/>
  <c r="BI60" i="5" s="1"/>
  <c r="BI28" i="5"/>
  <c r="CS49" i="5"/>
  <c r="CS56" i="5" s="1"/>
  <c r="CS60" i="5" s="1"/>
  <c r="CS28" i="5"/>
  <c r="AP28" i="5"/>
  <c r="AP40" i="5" s="1"/>
  <c r="Y28" i="5"/>
  <c r="C30" i="3"/>
  <c r="B11" i="11" s="1"/>
  <c r="AP49" i="5"/>
  <c r="AP56" i="5" s="1"/>
  <c r="Y49" i="5"/>
  <c r="G11" i="3"/>
  <c r="BI40" i="5" l="1"/>
  <c r="Y40" i="5"/>
  <c r="AW60" i="5"/>
  <c r="AW65" i="5" s="1"/>
  <c r="BU59" i="5"/>
  <c r="BU65" i="5" s="1"/>
  <c r="BU67" i="5" s="1"/>
  <c r="CB67" i="5" s="1"/>
  <c r="J40" i="3" s="1"/>
  <c r="J41" i="3" s="1"/>
  <c r="CS40" i="5"/>
  <c r="AW40" i="5"/>
  <c r="AK60" i="5"/>
  <c r="AK65" i="5" s="1"/>
  <c r="AK67" i="5" s="1"/>
  <c r="BI59" i="5"/>
  <c r="BI65" i="5" s="1"/>
  <c r="CS59" i="5"/>
  <c r="CS65" i="5" s="1"/>
  <c r="Y56" i="5"/>
  <c r="Y60" i="5" s="1"/>
  <c r="CG59" i="5"/>
  <c r="CG65" i="5" s="1"/>
  <c r="CG67" i="5" s="1"/>
  <c r="AP60" i="5"/>
  <c r="AP59" i="5"/>
  <c r="H12" i="3"/>
  <c r="H13" i="3" s="1"/>
  <c r="BI67" i="5" l="1"/>
  <c r="BP67" i="5" s="1"/>
  <c r="I40" i="3" s="1"/>
  <c r="I41" i="3" s="1"/>
  <c r="CS67" i="5"/>
  <c r="CZ67" i="5" s="1"/>
  <c r="L40" i="3" s="1"/>
  <c r="L41" i="3" s="1"/>
  <c r="AW67" i="5"/>
  <c r="BD67" i="5" s="1"/>
  <c r="H40" i="3" s="1"/>
  <c r="H41" i="3" s="1"/>
  <c r="Y59" i="5"/>
  <c r="Y65" i="5" s="1"/>
  <c r="Y67" i="5" s="1"/>
  <c r="CN67" i="5"/>
  <c r="AP65" i="5"/>
  <c r="AP67" i="5" s="1"/>
  <c r="K40" i="3" l="1"/>
  <c r="K41" i="3" s="1"/>
  <c r="AF67" i="5"/>
  <c r="B18" i="9"/>
  <c r="C19" i="9" s="1"/>
  <c r="C20" i="9" s="1"/>
  <c r="Y80" i="5"/>
  <c r="Y82" i="5" s="1"/>
  <c r="AR67" i="5"/>
  <c r="DB67" i="5" s="1"/>
  <c r="G40" i="3" l="1"/>
  <c r="B25" i="3"/>
  <c r="C32" i="3" s="1"/>
  <c r="M40" i="3" l="1"/>
  <c r="G41" i="3"/>
  <c r="M41" i="3" s="1"/>
  <c r="B9" i="11"/>
  <c r="B5" i="11"/>
  <c r="B7" i="11" s="1"/>
  <c r="C26" i="3"/>
  <c r="C27" i="3" s="1"/>
</calcChain>
</file>

<file path=xl/sharedStrings.xml><?xml version="1.0" encoding="utf-8"?>
<sst xmlns="http://schemas.openxmlformats.org/spreadsheetml/2006/main" count="225" uniqueCount="161">
  <si>
    <t>Salary</t>
  </si>
  <si>
    <t>Taxable income</t>
  </si>
  <si>
    <t>Ontario Tax</t>
  </si>
  <si>
    <t>Personal tax credit</t>
  </si>
  <si>
    <t>Credits</t>
  </si>
  <si>
    <t>Total credits</t>
  </si>
  <si>
    <t>Total federal tax</t>
  </si>
  <si>
    <t>Canada employment amount</t>
  </si>
  <si>
    <t>Ontario Tax Before Surtax</t>
  </si>
  <si>
    <t>Surtax</t>
  </si>
  <si>
    <t>Total Ontario Tax</t>
  </si>
  <si>
    <t>Corporate tax</t>
  </si>
  <si>
    <t xml:space="preserve">Total tax </t>
  </si>
  <si>
    <t>Eligible dividend</t>
  </si>
  <si>
    <t>Dividend tax credit eligible</t>
  </si>
  <si>
    <t xml:space="preserve">Income </t>
  </si>
  <si>
    <t>Effective tax rate</t>
  </si>
  <si>
    <t xml:space="preserve"> </t>
  </si>
  <si>
    <t>Total Tax</t>
  </si>
  <si>
    <t>Overall Tax Rate</t>
  </si>
  <si>
    <t>Eligible dividends</t>
  </si>
  <si>
    <t>Base federal tax</t>
  </si>
  <si>
    <t>Federal tax</t>
  </si>
  <si>
    <t>Ontario credits</t>
  </si>
  <si>
    <t>Eligible dividend gross up</t>
  </si>
  <si>
    <t>Base Ontario tax</t>
  </si>
  <si>
    <t xml:space="preserve">Personal tax </t>
  </si>
  <si>
    <t>Total personal taxes payable</t>
  </si>
  <si>
    <t>Personal Tax</t>
  </si>
  <si>
    <t>Dividend tax credit non-eligible</t>
  </si>
  <si>
    <t>Non-eligible dividend</t>
  </si>
  <si>
    <t>Non-eligible Dividend</t>
  </si>
  <si>
    <t>Non-eligible dividend gross up</t>
  </si>
  <si>
    <t>Caution: ignores EHT, CPP, EI and RRSP</t>
  </si>
  <si>
    <t>Working assumptions</t>
  </si>
  <si>
    <t>Disclaimer:</t>
  </si>
  <si>
    <t>Total Income of Corporation</t>
  </si>
  <si>
    <t>SBD Income</t>
  </si>
  <si>
    <t>Openning Grip</t>
  </si>
  <si>
    <t>Corporate Tax High Rate Income</t>
  </si>
  <si>
    <t>Corporate Tax Low Rate Income</t>
  </si>
  <si>
    <t>Dividends</t>
  </si>
  <si>
    <t>GRIP Balance Remaining</t>
  </si>
  <si>
    <t>GRIP Calculation</t>
  </si>
  <si>
    <t>GRIP Openning Balance</t>
  </si>
  <si>
    <t>Addition to GRIP</t>
  </si>
  <si>
    <t>Available GRIP</t>
  </si>
  <si>
    <t>Eligible Dividends Paid</t>
  </si>
  <si>
    <t>GRIP Closing Balance</t>
  </si>
  <si>
    <t>Corporate tax high rate</t>
  </si>
  <si>
    <t>Corporate tax low rate</t>
  </si>
  <si>
    <t>Total corporate tax</t>
  </si>
  <si>
    <t>Income tax deferral</t>
  </si>
  <si>
    <t>Openning GRIP</t>
  </si>
  <si>
    <t>Taxpayer 2</t>
  </si>
  <si>
    <t>Taxpayer 3</t>
  </si>
  <si>
    <t>Taxpayer 4</t>
  </si>
  <si>
    <t>Taxpayer 5</t>
  </si>
  <si>
    <t xml:space="preserve">Salary </t>
  </si>
  <si>
    <t>Total</t>
  </si>
  <si>
    <t>Combination (Master)</t>
  </si>
  <si>
    <t>Allocation of dividends between taxpayers</t>
  </si>
  <si>
    <t>Total dividends</t>
  </si>
  <si>
    <t>Taxpayer 1</t>
  </si>
  <si>
    <t>Non-eligible dividends</t>
  </si>
  <si>
    <t>Combination (Taxpayer 1)</t>
  </si>
  <si>
    <t>Combination (Taxpayer 3)</t>
  </si>
  <si>
    <t>Combination (Taxpayer 4)</t>
  </si>
  <si>
    <t>Combination (Taxpayer 5)</t>
  </si>
  <si>
    <t>Calculation of cash remaining for distribution</t>
  </si>
  <si>
    <t>Income available for distribution</t>
  </si>
  <si>
    <t>Corporate taxable income</t>
  </si>
  <si>
    <t>Corporate income before tax</t>
  </si>
  <si>
    <t>Salaries paid</t>
  </si>
  <si>
    <t>Dividends paid</t>
  </si>
  <si>
    <t>Corp taxes paid</t>
  </si>
  <si>
    <t>Funds available for salary before income tax effect</t>
  </si>
  <si>
    <t>Maximum salaries available</t>
  </si>
  <si>
    <t>Savings from income splitting</t>
  </si>
  <si>
    <t xml:space="preserve">Funds left in the company </t>
  </si>
  <si>
    <t xml:space="preserve">Eligible dividends highest tax rate </t>
  </si>
  <si>
    <t>Non-eligible dividends tax rate</t>
  </si>
  <si>
    <t>Total tax deferral</t>
  </si>
  <si>
    <t>SBD Limit</t>
  </si>
  <si>
    <t>Actual amounts paid</t>
  </si>
  <si>
    <t>Cash retained in the company</t>
  </si>
  <si>
    <t>Combination (Taxpayer 2)</t>
  </si>
  <si>
    <t>Other income</t>
  </si>
  <si>
    <t>Taxpayer 1 (Personal Taxes for Corp)</t>
  </si>
  <si>
    <t>Other Income (Taxpayer 1)</t>
  </si>
  <si>
    <t>Taxpayer 2 (Personal Taxes for Corp)</t>
  </si>
  <si>
    <t>Other Income (Taxpayer 2)</t>
  </si>
  <si>
    <t>Other Income (Taxpayer 3)</t>
  </si>
  <si>
    <t>Taxpayer 3 (Personal Taxes for Corp)</t>
  </si>
  <si>
    <t>Other Income (Taxpayer 4)</t>
  </si>
  <si>
    <t>Taxpayer 4 (Personal Taxes for Corp)</t>
  </si>
  <si>
    <t>Other Income (Taxpayer 5)</t>
  </si>
  <si>
    <t>Taxpayer 5 (Personal Taxes for Corp)</t>
  </si>
  <si>
    <t>Other credits</t>
  </si>
  <si>
    <t>Other Ontario Credits</t>
  </si>
  <si>
    <t>Combination [select combination, optimal noneligible/eligible dividends paid to one shareholder with no other income]</t>
  </si>
  <si>
    <t>Corporate Tax High Rate</t>
  </si>
  <si>
    <t>Corporate Tax Low Rate</t>
  </si>
  <si>
    <t>Corporate income tax calculation</t>
  </si>
  <si>
    <t>Calculation of tax deferral</t>
  </si>
  <si>
    <t>GRIP balance remaining</t>
  </si>
  <si>
    <t>Other deductions</t>
  </si>
  <si>
    <r>
      <t xml:space="preserve">Scenario 1: Salary 
</t>
    </r>
    <r>
      <rPr>
        <b/>
        <sz val="12"/>
        <color theme="1"/>
        <rFont val="Calibri"/>
        <family val="2"/>
        <scheme val="minor"/>
      </rPr>
      <t>[all income paid by bonus to one shareholder with no other income]</t>
    </r>
  </si>
  <si>
    <t>Personal tax</t>
  </si>
  <si>
    <t>Tax deferral</t>
  </si>
  <si>
    <t>Total tax paid</t>
  </si>
  <si>
    <r>
      <t xml:space="preserve">Income tax deferral </t>
    </r>
    <r>
      <rPr>
        <b/>
        <vertAlign val="superscript"/>
        <sz val="11"/>
        <color theme="1"/>
        <rFont val="Calibri"/>
        <family val="2"/>
        <scheme val="minor"/>
      </rPr>
      <t>1</t>
    </r>
  </si>
  <si>
    <r>
      <t>Personal taxes</t>
    </r>
    <r>
      <rPr>
        <b/>
        <vertAlign val="superscript"/>
        <sz val="11"/>
        <color theme="1"/>
        <rFont val="Calibri"/>
        <family val="2"/>
        <scheme val="minor"/>
      </rPr>
      <t>5</t>
    </r>
  </si>
  <si>
    <r>
      <t>Other personal credits (Fed)</t>
    </r>
    <r>
      <rPr>
        <vertAlign val="superscript"/>
        <sz val="11"/>
        <color theme="1"/>
        <rFont val="Calibri"/>
        <family val="2"/>
        <scheme val="minor"/>
      </rPr>
      <t>4</t>
    </r>
  </si>
  <si>
    <r>
      <t>Other personal credits (Ont)</t>
    </r>
    <r>
      <rPr>
        <vertAlign val="superscript"/>
        <sz val="11"/>
        <color theme="1"/>
        <rFont val="Calibri"/>
        <family val="2"/>
        <scheme val="minor"/>
      </rPr>
      <t>4</t>
    </r>
  </si>
  <si>
    <r>
      <t>Remaining value available for distribution</t>
    </r>
    <r>
      <rPr>
        <b/>
        <vertAlign val="superscript"/>
        <sz val="11"/>
        <color theme="1"/>
        <rFont val="Calibri"/>
        <family val="2"/>
        <scheme val="minor"/>
      </rPr>
      <t>6</t>
    </r>
  </si>
  <si>
    <r>
      <rPr>
        <b/>
        <sz val="18"/>
        <color theme="1"/>
        <rFont val="Calibri"/>
        <family val="2"/>
        <scheme val="minor"/>
      </rPr>
      <t>Scenario 2: Dividends</t>
    </r>
    <r>
      <rPr>
        <b/>
        <sz val="11"/>
        <color theme="1"/>
        <rFont val="Calibri"/>
        <family val="2"/>
        <scheme val="minor"/>
      </rPr>
      <t xml:space="preserve"> 
</t>
    </r>
    <r>
      <rPr>
        <b/>
        <sz val="12"/>
        <color theme="1"/>
        <rFont val="Calibri"/>
        <family val="2"/>
        <scheme val="minor"/>
      </rPr>
      <t>[all income paid by dividends to one shareholder with no other income]</t>
    </r>
  </si>
  <si>
    <t>Please enter the income distributions between shareholders for Scenario 3.</t>
  </si>
  <si>
    <r>
      <t>Savings from income splitting and other deductions/credits/other income</t>
    </r>
    <r>
      <rPr>
        <b/>
        <vertAlign val="superscript"/>
        <sz val="11"/>
        <color theme="1"/>
        <rFont val="Calibri"/>
        <family val="2"/>
        <scheme val="minor"/>
      </rPr>
      <t>2</t>
    </r>
  </si>
  <si>
    <t>Income from other sources</t>
  </si>
  <si>
    <t>SBD limit</t>
  </si>
  <si>
    <t>Total dividends paid</t>
  </si>
  <si>
    <t xml:space="preserve">SBD </t>
  </si>
  <si>
    <t>Salaries</t>
  </si>
  <si>
    <t>Taxable income of corporation
(Total income less salaries)</t>
  </si>
  <si>
    <t>Dividend tax base low rate</t>
  </si>
  <si>
    <t>Low tax paid on dividend</t>
  </si>
  <si>
    <t>Dividend tax base high rate</t>
  </si>
  <si>
    <t>Reduction in tax</t>
  </si>
  <si>
    <t>High tax paid on dividend</t>
  </si>
  <si>
    <t>Combination Person taxes for corp</t>
  </si>
  <si>
    <t>Warning: enable macros before start using the worksheet.</t>
  </si>
  <si>
    <t>Opening GRIP</t>
  </si>
  <si>
    <t>calculation4CadeskyTax</t>
  </si>
  <si>
    <t>Taxable Income of Corporation(pre-bonuses)</t>
  </si>
  <si>
    <t>Taxpayer 6</t>
  </si>
  <si>
    <t>Combination (Taxpayer 6)</t>
  </si>
  <si>
    <t>Other Income (Taxpayer 6)</t>
  </si>
  <si>
    <t>Taxpayer 6 (Personal Taxes for Corp)</t>
  </si>
  <si>
    <r>
      <rPr>
        <b/>
        <sz val="18"/>
        <color theme="1"/>
        <rFont val="Calibri"/>
        <family val="2"/>
        <scheme val="minor"/>
      </rPr>
      <t>Scenario 3: Salary/Dividend Combination</t>
    </r>
    <r>
      <rPr>
        <b/>
        <sz val="11"/>
        <color theme="1"/>
        <rFont val="Calibri"/>
        <family val="2"/>
        <scheme val="minor"/>
      </rPr>
      <t xml:space="preserve"> 
</t>
    </r>
    <r>
      <rPr>
        <b/>
        <sz val="12"/>
        <color theme="1"/>
        <rFont val="Calibri"/>
        <family val="2"/>
        <scheme val="minor"/>
      </rPr>
      <t>[6 shareholders]</t>
    </r>
  </si>
  <si>
    <t>Deductions</t>
  </si>
  <si>
    <t>RRSP</t>
  </si>
  <si>
    <t xml:space="preserve">Note that the calculations presented are for illustrative purposes only. Complete reliance cannot be placed on these calculations as they are approximate and do not cover all possible scenarios that may arise. </t>
  </si>
  <si>
    <t>Cash withdrawn</t>
  </si>
  <si>
    <t>-Eligible dividend</t>
  </si>
  <si>
    <t>-Non-eligible dividend</t>
  </si>
  <si>
    <r>
      <t>Dividends</t>
    </r>
    <r>
      <rPr>
        <vertAlign val="superscript"/>
        <sz val="11"/>
        <color theme="1"/>
        <rFont val="Calibri"/>
        <family val="2"/>
        <scheme val="minor"/>
      </rPr>
      <t>3</t>
    </r>
    <r>
      <rPr>
        <sz val="11"/>
        <color theme="1"/>
        <rFont val="Calibri"/>
        <family val="2"/>
        <scheme val="minor"/>
      </rPr>
      <t xml:space="preserve"> - actual</t>
    </r>
  </si>
  <si>
    <t>Donations (actual amount)</t>
  </si>
  <si>
    <t>Donation tax credits</t>
  </si>
  <si>
    <t>Tuition tax credits</t>
  </si>
  <si>
    <t>The allocation of dividends between eligible and non-eligible dividends is done to maximize eligible dividends based on the GRIP balance available at year end.</t>
  </si>
  <si>
    <t>1. Income tax deferral is calculated assuming all cash retained in the corporation will be repaid as optimal combination of eligible and non-eligible dividends to one shareholder using highest 2021 marginal tax rates)</t>
  </si>
  <si>
    <t xml:space="preserve">2021 Ontario personal income tax rates. </t>
  </si>
  <si>
    <t>The above calculation is prepared based on Federal and Ontario tax rates for 2021 year based on the rates available.</t>
  </si>
  <si>
    <t>Tuitions (actual amount)</t>
  </si>
  <si>
    <t>2. Saving from income splitting is calculated compared to the personal taxes paid by Taxpayer 1 if he/she received all dividends and salary. Savings from other deductions/credits represents the combined savings of all shareholders for using other deductions and personal credits as well as effects of the higher marginal tax rates because of other income. This assumes that Tax-On-Split-Income (TOSI does not apply)</t>
  </si>
  <si>
    <t>Also, note that there are factors not considered in the calculation, i.e. any personal exemptions other than employment credit and basic personal credit, alternative minimum tax, RRSP deductions (unless entered), donations (unless entered), tuition (unless entered) EHT, CPP, EI, R&amp;D 35% eligibility, Ontario Health Premium.</t>
  </si>
  <si>
    <t>TOSI is assumed not to apply in this model.</t>
  </si>
  <si>
    <t>Total actual income</t>
  </si>
  <si>
    <t>Taxable income (including gross up)</t>
  </si>
  <si>
    <r>
      <t xml:space="preserve">3. The allocation of dividends between eligible and non-eligible dividends is done to maximize eligible dividends based on the GRIP balance available at year end and allocated pro-rata.
4. Please, enter the amount before the applicable rate. Please note that the basic personal amounts and employment tax credits are already included in previous calculations
5. Personal taxes are calculated </t>
    </r>
    <r>
      <rPr>
        <b/>
        <u/>
        <sz val="11"/>
        <color theme="1"/>
        <rFont val="Calibri"/>
        <family val="2"/>
        <scheme val="minor"/>
      </rPr>
      <t>only</t>
    </r>
    <r>
      <rPr>
        <sz val="11"/>
        <color theme="1"/>
        <rFont val="Calibri"/>
        <family val="2"/>
        <scheme val="minor"/>
      </rPr>
      <t xml:space="preserve"> for dividends and salary paid </t>
    </r>
    <r>
      <rPr>
        <b/>
        <u/>
        <sz val="11"/>
        <color theme="1"/>
        <rFont val="Calibri"/>
        <family val="2"/>
        <scheme val="minor"/>
      </rPr>
      <t>from this corporation</t>
    </r>
    <r>
      <rPr>
        <sz val="11"/>
        <color theme="1"/>
        <rFont val="Calibri"/>
        <family val="2"/>
        <scheme val="minor"/>
      </rPr>
      <t xml:space="preserve">. Information regarding other income is used only for calculation of the personal tax brackets. Caution: the calculation ignores AMT, CPP, EI, Ontario Health Premium
6. Note, that the values remaining for distribution is calculated after the applicable corporate tax rates and therefore, represents the actual amount of cash that is available in the corporation for distribution.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</si>
</sst>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4.5"/>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8" tint="0.59999389629810485"/>
        <bgColor indexed="64"/>
      </patternFill>
    </fill>
  </fills>
  <borders count="1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71">
    <xf numFmtId="0" fontId="0" fillId="0" borderId="0" xfId="0"/>
    <xf numFmtId="43" fontId="0" fillId="0" borderId="0" xfId="1" applyFont="1"/>
    <xf numFmtId="43" fontId="2" fillId="0" borderId="0" xfId="1" applyFont="1"/>
    <xf numFmtId="164" fontId="0" fillId="0" borderId="0" xfId="1" applyNumberFormat="1" applyFont="1"/>
    <xf numFmtId="164" fontId="2" fillId="0" borderId="0" xfId="1" applyNumberFormat="1" applyFont="1"/>
    <xf numFmtId="164" fontId="0" fillId="0" borderId="0" xfId="0" applyNumberFormat="1"/>
    <xf numFmtId="0" fontId="0" fillId="0" borderId="0" xfId="0" applyFont="1"/>
    <xf numFmtId="9" fontId="0" fillId="0" borderId="0" xfId="0" applyNumberFormat="1" applyFont="1"/>
    <xf numFmtId="43" fontId="1" fillId="0" borderId="0" xfId="1" applyFont="1"/>
    <xf numFmtId="10" fontId="0" fillId="0" borderId="0" xfId="0" applyNumberFormat="1" applyFont="1"/>
    <xf numFmtId="43" fontId="0" fillId="0" borderId="0" xfId="0" applyNumberFormat="1"/>
    <xf numFmtId="43" fontId="2" fillId="0" borderId="0" xfId="0" applyNumberFormat="1" applyFont="1"/>
    <xf numFmtId="43" fontId="2" fillId="2" borderId="0" xfId="0" applyNumberFormat="1" applyFont="1" applyFill="1"/>
    <xf numFmtId="164" fontId="1" fillId="0" borderId="0" xfId="1" applyNumberFormat="1" applyFont="1"/>
    <xf numFmtId="43" fontId="2" fillId="0" borderId="0" xfId="1" applyFont="1" applyFill="1"/>
    <xf numFmtId="10" fontId="2" fillId="0" borderId="0" xfId="2" applyNumberFormat="1" applyFont="1"/>
    <xf numFmtId="164" fontId="2" fillId="2" borderId="1" xfId="1" applyNumberFormat="1" applyFont="1" applyFill="1" applyBorder="1"/>
    <xf numFmtId="0" fontId="2" fillId="0" borderId="1" xfId="0" applyFont="1" applyBorder="1"/>
    <xf numFmtId="164" fontId="2" fillId="0" borderId="1" xfId="1" applyNumberFormat="1" applyFont="1" applyBorder="1"/>
    <xf numFmtId="0" fontId="0" fillId="0" borderId="0" xfId="0"/>
    <xf numFmtId="0" fontId="0" fillId="0" borderId="1" xfId="0" applyBorder="1"/>
    <xf numFmtId="0" fontId="2" fillId="0" borderId="0" xfId="0" applyFont="1"/>
    <xf numFmtId="9" fontId="0" fillId="0" borderId="0" xfId="0" applyNumberFormat="1"/>
    <xf numFmtId="10" fontId="0" fillId="0" borderId="0" xfId="0" applyNumberFormat="1"/>
    <xf numFmtId="0" fontId="0" fillId="0" borderId="0" xfId="0" applyBorder="1"/>
    <xf numFmtId="10" fontId="0" fillId="0" borderId="0" xfId="2" applyNumberFormat="1" applyFont="1"/>
    <xf numFmtId="0" fontId="0" fillId="0" borderId="0" xfId="0" applyFill="1"/>
    <xf numFmtId="0" fontId="0" fillId="0" borderId="0" xfId="0" applyFill="1" applyBorder="1"/>
    <xf numFmtId="0" fontId="0" fillId="0" borderId="4" xfId="0" applyBorder="1"/>
    <xf numFmtId="164" fontId="0" fillId="0" borderId="1" xfId="1" applyNumberFormat="1" applyFont="1" applyBorder="1"/>
    <xf numFmtId="43" fontId="2" fillId="2" borderId="1" xfId="0" applyNumberFormat="1" applyFont="1" applyFill="1" applyBorder="1"/>
    <xf numFmtId="43" fontId="2" fillId="2" borderId="1" xfId="1" applyFont="1" applyFill="1" applyBorder="1"/>
    <xf numFmtId="0" fontId="2" fillId="0" borderId="7" xfId="0" applyFont="1" applyBorder="1"/>
    <xf numFmtId="164" fontId="2" fillId="0" borderId="7" xfId="1" applyNumberFormat="1" applyFont="1" applyBorder="1"/>
    <xf numFmtId="0" fontId="0" fillId="0" borderId="11" xfId="0" applyBorder="1"/>
    <xf numFmtId="0" fontId="0" fillId="0" borderId="12" xfId="0" applyBorder="1"/>
    <xf numFmtId="10" fontId="0" fillId="0" borderId="13" xfId="2" applyNumberFormat="1" applyFont="1" applyBorder="1"/>
    <xf numFmtId="0" fontId="2" fillId="0" borderId="11" xfId="0" applyFont="1" applyFill="1" applyBorder="1"/>
    <xf numFmtId="0" fontId="0" fillId="0" borderId="12" xfId="0" applyFill="1" applyBorder="1"/>
    <xf numFmtId="0" fontId="2" fillId="0" borderId="11" xfId="0" applyFont="1" applyBorder="1"/>
    <xf numFmtId="0" fontId="2" fillId="0" borderId="0" xfId="0" applyFont="1" applyBorder="1"/>
    <xf numFmtId="43" fontId="2" fillId="0" borderId="1" xfId="1" applyFont="1" applyBorder="1"/>
    <xf numFmtId="0" fontId="2" fillId="0" borderId="4" xfId="0" applyFont="1" applyBorder="1"/>
    <xf numFmtId="10" fontId="2" fillId="0" borderId="13" xfId="2" applyNumberFormat="1" applyFont="1" applyBorder="1"/>
    <xf numFmtId="164" fontId="0" fillId="0" borderId="0" xfId="0" applyNumberFormat="1" applyBorder="1"/>
    <xf numFmtId="164" fontId="2" fillId="0" borderId="0" xfId="0" applyNumberFormat="1" applyFont="1" applyBorder="1"/>
    <xf numFmtId="164" fontId="2" fillId="0" borderId="4" xfId="0" applyNumberFormat="1" applyFont="1" applyBorder="1"/>
    <xf numFmtId="164" fontId="0" fillId="0" borderId="0" xfId="0" applyNumberFormat="1" applyFill="1" applyBorder="1"/>
    <xf numFmtId="43" fontId="2" fillId="2" borderId="7" xfId="1" applyFont="1" applyFill="1" applyBorder="1"/>
    <xf numFmtId="43" fontId="2" fillId="0" borderId="1" xfId="0" applyNumberFormat="1" applyFont="1" applyBorder="1"/>
    <xf numFmtId="43" fontId="2" fillId="0" borderId="0" xfId="1" applyFont="1" applyBorder="1"/>
    <xf numFmtId="0" fontId="2" fillId="0" borderId="0" xfId="0" applyFont="1" applyFill="1" applyBorder="1"/>
    <xf numFmtId="0" fontId="0" fillId="0" borderId="11" xfId="0" applyFont="1" applyFill="1" applyBorder="1"/>
    <xf numFmtId="0" fontId="0" fillId="0" borderId="11" xfId="0" applyFill="1" applyBorder="1"/>
    <xf numFmtId="0" fontId="2" fillId="0" borderId="11" xfId="0" applyFont="1" applyFill="1" applyBorder="1" applyAlignment="1">
      <alignment horizontal="center" vertical="center"/>
    </xf>
    <xf numFmtId="0" fontId="0" fillId="0" borderId="13" xfId="0" applyBorder="1"/>
    <xf numFmtId="164" fontId="2" fillId="0" borderId="12" xfId="0" applyNumberFormat="1" applyFont="1" applyFill="1" applyBorder="1"/>
    <xf numFmtId="44" fontId="2" fillId="0" borderId="12" xfId="3" applyFont="1" applyFill="1" applyBorder="1"/>
    <xf numFmtId="10" fontId="2" fillId="0" borderId="12" xfId="2" applyNumberFormat="1" applyFont="1" applyBorder="1"/>
    <xf numFmtId="0" fontId="0" fillId="0" borderId="6" xfId="0" applyBorder="1"/>
    <xf numFmtId="0" fontId="2" fillId="0" borderId="0" xfId="0" applyFont="1" applyFill="1"/>
    <xf numFmtId="0" fontId="2" fillId="0" borderId="0" xfId="0" applyFont="1" applyAlignment="1">
      <alignment horizontal="center"/>
    </xf>
    <xf numFmtId="0" fontId="3" fillId="3" borderId="0" xfId="0" applyFont="1" applyFill="1" applyBorder="1"/>
    <xf numFmtId="9" fontId="0" fillId="3" borderId="0" xfId="0" applyNumberFormat="1" applyFill="1" applyBorder="1"/>
    <xf numFmtId="0" fontId="3" fillId="3" borderId="8" xfId="0" applyFont="1" applyFill="1" applyBorder="1"/>
    <xf numFmtId="0" fontId="3" fillId="3" borderId="9" xfId="0" applyFont="1" applyFill="1" applyBorder="1"/>
    <xf numFmtId="9" fontId="0" fillId="3" borderId="9" xfId="0" applyNumberFormat="1" applyFill="1" applyBorder="1"/>
    <xf numFmtId="44" fontId="3" fillId="4" borderId="10" xfId="3" applyFont="1" applyFill="1" applyBorder="1" applyAlignment="1"/>
    <xf numFmtId="0" fontId="3" fillId="3" borderId="11" xfId="0" applyFont="1" applyFill="1" applyBorder="1"/>
    <xf numFmtId="0" fontId="3" fillId="3" borderId="6" xfId="0" applyFont="1" applyFill="1" applyBorder="1"/>
    <xf numFmtId="0" fontId="3" fillId="3" borderId="4" xfId="0" applyFont="1" applyFill="1" applyBorder="1"/>
    <xf numFmtId="9" fontId="0" fillId="3" borderId="4" xfId="0" applyNumberFormat="1" applyFill="1" applyBorder="1"/>
    <xf numFmtId="44" fontId="3" fillId="4" borderId="12" xfId="3" applyFont="1" applyFill="1" applyBorder="1" applyAlignment="1"/>
    <xf numFmtId="44" fontId="3" fillId="4" borderId="13" xfId="3" applyFont="1" applyFill="1" applyBorder="1" applyAlignment="1"/>
    <xf numFmtId="0" fontId="0" fillId="5" borderId="9" xfId="0" applyFill="1" applyBorder="1"/>
    <xf numFmtId="0" fontId="3" fillId="5" borderId="11" xfId="0" applyFont="1" applyFill="1" applyBorder="1"/>
    <xf numFmtId="0" fontId="3" fillId="5" borderId="0" xfId="0" applyFont="1" applyFill="1" applyBorder="1"/>
    <xf numFmtId="9" fontId="0" fillId="5" borderId="0" xfId="0" applyNumberFormat="1" applyFill="1" applyBorder="1"/>
    <xf numFmtId="0" fontId="0" fillId="5" borderId="0" xfId="0" applyFill="1" applyBorder="1"/>
    <xf numFmtId="0" fontId="3" fillId="5" borderId="6" xfId="0" applyFont="1" applyFill="1" applyBorder="1"/>
    <xf numFmtId="0" fontId="3" fillId="5" borderId="4" xfId="0" applyFont="1" applyFill="1" applyBorder="1"/>
    <xf numFmtId="9" fontId="0" fillId="5" borderId="4" xfId="0" applyNumberFormat="1" applyFill="1" applyBorder="1"/>
    <xf numFmtId="0" fontId="0" fillId="5" borderId="4" xfId="0" applyFill="1" applyBorder="1"/>
    <xf numFmtId="0" fontId="2" fillId="5" borderId="8" xfId="0" applyFont="1" applyFill="1" applyBorder="1"/>
    <xf numFmtId="43" fontId="2" fillId="5" borderId="10" xfId="1" applyFont="1" applyFill="1" applyBorder="1"/>
    <xf numFmtId="43" fontId="2" fillId="5" borderId="12" xfId="1" applyFont="1" applyFill="1" applyBorder="1"/>
    <xf numFmtId="43" fontId="2" fillId="5" borderId="13" xfId="1" applyFont="1" applyFill="1" applyBorder="1"/>
    <xf numFmtId="164" fontId="2" fillId="0" borderId="0" xfId="1" applyNumberFormat="1" applyFont="1" applyBorder="1"/>
    <xf numFmtId="164" fontId="0" fillId="0" borderId="12" xfId="0" applyNumberFormat="1" applyBorder="1"/>
    <xf numFmtId="164" fontId="2" fillId="0" borderId="12" xfId="3" applyNumberFormat="1" applyFont="1" applyFill="1" applyBorder="1"/>
    <xf numFmtId="0" fontId="0" fillId="0" borderId="11" xfId="0" applyFont="1" applyFill="1" applyBorder="1" applyAlignment="1">
      <alignment horizontal="left" indent="2"/>
    </xf>
    <xf numFmtId="0" fontId="0" fillId="0" borderId="11" xfId="0" applyFill="1" applyBorder="1" applyAlignment="1">
      <alignment horizontal="left" indent="2"/>
    </xf>
    <xf numFmtId="0" fontId="2" fillId="0" borderId="6" xfId="0" applyFont="1" applyBorder="1"/>
    <xf numFmtId="44" fontId="0" fillId="0" borderId="12" xfId="0" applyNumberFormat="1" applyFill="1" applyBorder="1"/>
    <xf numFmtId="43" fontId="0" fillId="0" borderId="0" xfId="1" applyFont="1" applyFill="1"/>
    <xf numFmtId="164" fontId="0" fillId="0" borderId="0" xfId="1" applyNumberFormat="1" applyFont="1" applyBorder="1"/>
    <xf numFmtId="43" fontId="0" fillId="0" borderId="0" xfId="1" applyFont="1" applyBorder="1"/>
    <xf numFmtId="164" fontId="2" fillId="0" borderId="0" xfId="1" applyNumberFormat="1" applyFont="1" applyFill="1" applyBorder="1"/>
    <xf numFmtId="43" fontId="2" fillId="0" borderId="0" xfId="1" applyFont="1" applyFill="1" applyBorder="1"/>
    <xf numFmtId="164" fontId="0" fillId="0" borderId="0" xfId="1" applyNumberFormat="1" applyFont="1" applyFill="1" applyBorder="1"/>
    <xf numFmtId="43" fontId="0" fillId="0" borderId="0" xfId="1" applyFont="1" applyFill="1" applyBorder="1"/>
    <xf numFmtId="10" fontId="2" fillId="0" borderId="0" xfId="2" applyNumberFormat="1" applyFont="1" applyFill="1" applyBorder="1"/>
    <xf numFmtId="43" fontId="0" fillId="0" borderId="0" xfId="0" applyNumberFormat="1" applyFill="1"/>
    <xf numFmtId="0" fontId="2" fillId="0" borderId="0"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xf>
    <xf numFmtId="164" fontId="2" fillId="2" borderId="0" xfId="1" applyNumberFormat="1" applyFont="1" applyFill="1" applyBorder="1"/>
    <xf numFmtId="43" fontId="2" fillId="2" borderId="0" xfId="0" applyNumberFormat="1" applyFont="1" applyFill="1" applyBorder="1"/>
    <xf numFmtId="43" fontId="2" fillId="0" borderId="0" xfId="0" applyNumberFormat="1" applyFont="1" applyBorder="1"/>
    <xf numFmtId="0" fontId="2" fillId="0" borderId="0" xfId="0" applyFont="1" applyFill="1" applyAlignment="1">
      <alignment horizontal="center"/>
    </xf>
    <xf numFmtId="0" fontId="2" fillId="0" borderId="0" xfId="0" applyFont="1" applyFill="1" applyBorder="1" applyAlignment="1">
      <alignment horizontal="center"/>
    </xf>
    <xf numFmtId="164" fontId="0" fillId="0" borderId="0" xfId="1" applyNumberFormat="1" applyFont="1" applyFill="1"/>
    <xf numFmtId="43" fontId="1" fillId="0" borderId="0" xfId="1" applyFont="1" applyFill="1"/>
    <xf numFmtId="43" fontId="2" fillId="0" borderId="0" xfId="0" applyNumberFormat="1" applyFont="1" applyFill="1"/>
    <xf numFmtId="43" fontId="2" fillId="0" borderId="0" xfId="0" applyNumberFormat="1" applyFont="1" applyFill="1" applyBorder="1"/>
    <xf numFmtId="164" fontId="0" fillId="7" borderId="0" xfId="1" applyNumberFormat="1" applyFont="1" applyFill="1" applyBorder="1"/>
    <xf numFmtId="164" fontId="0" fillId="6" borderId="0" xfId="1" applyNumberFormat="1" applyFont="1" applyFill="1" applyBorder="1"/>
    <xf numFmtId="164" fontId="0" fillId="8" borderId="0" xfId="1" applyNumberFormat="1" applyFont="1" applyFill="1" applyBorder="1"/>
    <xf numFmtId="164" fontId="0" fillId="9" borderId="0" xfId="1" applyNumberFormat="1" applyFont="1" applyFill="1" applyBorder="1"/>
    <xf numFmtId="164" fontId="0" fillId="0" borderId="12" xfId="1" applyNumberFormat="1" applyFont="1" applyBorder="1"/>
    <xf numFmtId="164" fontId="0" fillId="7" borderId="7" xfId="1" applyNumberFormat="1" applyFont="1" applyFill="1" applyBorder="1"/>
    <xf numFmtId="164" fontId="0" fillId="6" borderId="7" xfId="1" applyNumberFormat="1" applyFont="1" applyFill="1" applyBorder="1"/>
    <xf numFmtId="164" fontId="0" fillId="8" borderId="7" xfId="1" applyNumberFormat="1" applyFont="1" applyFill="1" applyBorder="1"/>
    <xf numFmtId="164" fontId="0" fillId="9" borderId="7" xfId="1" applyNumberFormat="1" applyFont="1" applyFill="1" applyBorder="1"/>
    <xf numFmtId="164" fontId="2" fillId="7" borderId="7" xfId="1" applyNumberFormat="1" applyFont="1" applyFill="1" applyBorder="1"/>
    <xf numFmtId="164" fontId="2" fillId="6" borderId="7" xfId="1" applyNumberFormat="1" applyFont="1" applyFill="1" applyBorder="1"/>
    <xf numFmtId="164" fontId="2" fillId="8" borderId="7" xfId="1" applyNumberFormat="1" applyFont="1" applyFill="1" applyBorder="1"/>
    <xf numFmtId="164" fontId="2" fillId="9" borderId="7" xfId="1" applyNumberFormat="1" applyFont="1" applyFill="1" applyBorder="1"/>
    <xf numFmtId="164" fontId="2" fillId="0" borderId="15" xfId="1" applyNumberFormat="1" applyFont="1" applyBorder="1"/>
    <xf numFmtId="165" fontId="2" fillId="0" borderId="0" xfId="0" applyNumberFormat="1" applyFont="1" applyBorder="1"/>
    <xf numFmtId="0" fontId="2" fillId="0" borderId="12" xfId="0" applyFont="1" applyFill="1" applyBorder="1" applyAlignment="1">
      <alignment horizontal="center" vertical="center"/>
    </xf>
    <xf numFmtId="7" fontId="3" fillId="4" borderId="10" xfId="3" applyNumberFormat="1" applyFont="1" applyFill="1" applyBorder="1" applyAlignment="1"/>
    <xf numFmtId="7" fontId="3" fillId="4" borderId="12" xfId="3" applyNumberFormat="1" applyFont="1" applyFill="1" applyBorder="1" applyAlignment="1"/>
    <xf numFmtId="7" fontId="3" fillId="4" borderId="13" xfId="3" applyNumberFormat="1" applyFont="1" applyFill="1" applyBorder="1" applyAlignment="1"/>
    <xf numFmtId="0" fontId="2" fillId="0" borderId="8" xfId="0" applyFont="1" applyBorder="1"/>
    <xf numFmtId="0" fontId="0" fillId="0" borderId="9" xfId="0" applyBorder="1"/>
    <xf numFmtId="0" fontId="0" fillId="0" borderId="10" xfId="0" applyBorder="1"/>
    <xf numFmtId="0" fontId="2" fillId="0" borderId="12" xfId="0" applyFont="1" applyBorder="1" applyAlignment="1">
      <alignment horizontal="center"/>
    </xf>
    <xf numFmtId="43" fontId="0" fillId="0" borderId="0" xfId="0" applyNumberFormat="1" applyBorder="1"/>
    <xf numFmtId="43" fontId="0" fillId="0" borderId="12" xfId="0" applyNumberFormat="1" applyBorder="1"/>
    <xf numFmtId="164" fontId="0" fillId="0" borderId="13" xfId="1" applyNumberFormat="1" applyFont="1" applyBorder="1"/>
    <xf numFmtId="43" fontId="0" fillId="0" borderId="12" xfId="1" applyFont="1" applyBorder="1"/>
    <xf numFmtId="43" fontId="2" fillId="0" borderId="14" xfId="1" applyFont="1" applyBorder="1"/>
    <xf numFmtId="43" fontId="2" fillId="0" borderId="13" xfId="1" applyFont="1" applyBorder="1"/>
    <xf numFmtId="43" fontId="2" fillId="0" borderId="12" xfId="1" applyFont="1" applyBorder="1"/>
    <xf numFmtId="43" fontId="0" fillId="0" borderId="13" xfId="0" applyNumberFormat="1" applyBorder="1"/>
    <xf numFmtId="0" fontId="2" fillId="0" borderId="9" xfId="0" applyFont="1" applyBorder="1" applyAlignment="1">
      <alignment horizontal="center" vertical="center" wrapText="1"/>
    </xf>
    <xf numFmtId="0" fontId="0" fillId="0" borderId="8" xfId="0" applyBorder="1"/>
    <xf numFmtId="0" fontId="0" fillId="0" borderId="0" xfId="0" applyFill="1" applyBorder="1" applyAlignment="1">
      <alignment vertical="top"/>
    </xf>
    <xf numFmtId="0" fontId="0" fillId="0" borderId="0" xfId="0" applyAlignment="1">
      <alignment vertical="center"/>
    </xf>
    <xf numFmtId="164" fontId="2" fillId="0" borderId="12" xfId="1" applyNumberFormat="1" applyFont="1" applyBorder="1"/>
    <xf numFmtId="0" fontId="0" fillId="0" borderId="11" xfId="0" applyFont="1" applyFill="1" applyBorder="1" applyAlignment="1">
      <alignment horizontal="left"/>
    </xf>
    <xf numFmtId="0" fontId="0" fillId="0" borderId="11" xfId="0" applyFill="1" applyBorder="1" applyAlignment="1">
      <alignment horizontal="left"/>
    </xf>
    <xf numFmtId="164" fontId="2" fillId="0" borderId="0" xfId="1" applyNumberFormat="1" applyFont="1"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left" wrapText="1"/>
    </xf>
    <xf numFmtId="0" fontId="0" fillId="0" borderId="8" xfId="0" applyBorder="1" applyAlignment="1">
      <alignment vertical="center"/>
    </xf>
    <xf numFmtId="0" fontId="2" fillId="7" borderId="16" xfId="0" applyFont="1" applyFill="1" applyBorder="1" applyAlignment="1">
      <alignment horizontal="center" vertical="center"/>
    </xf>
    <xf numFmtId="0" fontId="2" fillId="6" borderId="16" xfId="0" applyFont="1" applyFill="1" applyBorder="1" applyAlignment="1">
      <alignment horizontal="center" vertical="center"/>
    </xf>
    <xf numFmtId="0" fontId="2" fillId="8" borderId="16" xfId="0" applyFont="1" applyFill="1" applyBorder="1" applyAlignment="1">
      <alignment horizontal="center" vertical="center"/>
    </xf>
    <xf numFmtId="0" fontId="2" fillId="9"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8" xfId="0" applyFont="1" applyFill="1" applyBorder="1" applyAlignment="1">
      <alignment horizontal="center" vertical="center"/>
    </xf>
    <xf numFmtId="0" fontId="0" fillId="0" borderId="10" xfId="0" applyFill="1" applyBorder="1" applyAlignment="1">
      <alignment horizontal="center" vertical="center"/>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164" fontId="2" fillId="0" borderId="12" xfId="1" applyNumberFormat="1" applyFont="1" applyFill="1" applyBorder="1"/>
    <xf numFmtId="0" fontId="2" fillId="0" borderId="12" xfId="0" applyFont="1" applyBorder="1"/>
    <xf numFmtId="164" fontId="2" fillId="0" borderId="0" xfId="3" applyNumberFormat="1" applyFont="1" applyFill="1" applyBorder="1"/>
    <xf numFmtId="0" fontId="0" fillId="0" borderId="6" xfId="0" applyFill="1" applyBorder="1" applyAlignment="1">
      <alignment vertical="top"/>
    </xf>
    <xf numFmtId="0" fontId="2" fillId="0" borderId="11" xfId="0" applyFont="1" applyBorder="1" applyAlignment="1">
      <alignment wrapText="1"/>
    </xf>
    <xf numFmtId="43" fontId="2" fillId="0" borderId="12" xfId="1" applyFont="1" applyFill="1" applyBorder="1"/>
    <xf numFmtId="0" fontId="2" fillId="0" borderId="0" xfId="0" applyFont="1" applyAlignment="1">
      <alignment horizontal="center"/>
    </xf>
    <xf numFmtId="0" fontId="2" fillId="10" borderId="16" xfId="0" applyFont="1" applyFill="1" applyBorder="1" applyAlignment="1">
      <alignment horizontal="center" vertical="center"/>
    </xf>
    <xf numFmtId="164" fontId="0" fillId="10" borderId="0" xfId="1" applyNumberFormat="1" applyFont="1" applyFill="1" applyBorder="1"/>
    <xf numFmtId="164" fontId="0" fillId="10" borderId="7" xfId="1" applyNumberFormat="1" applyFont="1" applyFill="1" applyBorder="1"/>
    <xf numFmtId="164" fontId="2" fillId="10" borderId="7" xfId="1" applyNumberFormat="1" applyFont="1" applyFill="1" applyBorder="1"/>
    <xf numFmtId="164" fontId="2" fillId="0" borderId="13" xfId="1" applyNumberFormat="1" applyFont="1" applyBorder="1"/>
    <xf numFmtId="43" fontId="2" fillId="2" borderId="0" xfId="1" applyFont="1" applyFill="1" applyBorder="1"/>
    <xf numFmtId="164" fontId="2" fillId="0" borderId="12" xfId="0" applyNumberFormat="1" applyFont="1" applyBorder="1"/>
    <xf numFmtId="44" fontId="3" fillId="4" borderId="10" xfId="3" applyFont="1" applyFill="1" applyBorder="1" applyAlignment="1" applyProtection="1">
      <protection locked="0"/>
    </xf>
    <xf numFmtId="44" fontId="3" fillId="4" borderId="12" xfId="3" applyFont="1" applyFill="1" applyBorder="1" applyAlignment="1" applyProtection="1">
      <protection locked="0"/>
    </xf>
    <xf numFmtId="44" fontId="3" fillId="4" borderId="13" xfId="3" applyFont="1" applyFill="1" applyBorder="1" applyAlignment="1" applyProtection="1">
      <protection locked="0"/>
    </xf>
    <xf numFmtId="164" fontId="0" fillId="10" borderId="0" xfId="1" applyNumberFormat="1" applyFont="1" applyFill="1" applyBorder="1" applyProtection="1">
      <protection locked="0"/>
    </xf>
    <xf numFmtId="164" fontId="0" fillId="7" borderId="0" xfId="1" applyNumberFormat="1" applyFont="1" applyFill="1" applyBorder="1" applyProtection="1">
      <protection locked="0"/>
    </xf>
    <xf numFmtId="164" fontId="0" fillId="6" borderId="0" xfId="1" applyNumberFormat="1" applyFont="1" applyFill="1" applyBorder="1" applyProtection="1">
      <protection locked="0"/>
    </xf>
    <xf numFmtId="164" fontId="0" fillId="8" borderId="0" xfId="1" applyNumberFormat="1" applyFont="1" applyFill="1" applyBorder="1" applyProtection="1">
      <protection locked="0"/>
    </xf>
    <xf numFmtId="164" fontId="0" fillId="9" borderId="0" xfId="1" applyNumberFormat="1" applyFont="1" applyFill="1" applyBorder="1" applyProtection="1">
      <protection locked="0"/>
    </xf>
    <xf numFmtId="164" fontId="0" fillId="10" borderId="0" xfId="1" applyNumberFormat="1" applyFont="1" applyFill="1" applyBorder="1" applyProtection="1"/>
    <xf numFmtId="164" fontId="0" fillId="7" borderId="0" xfId="1" applyNumberFormat="1" applyFont="1" applyFill="1" applyBorder="1" applyProtection="1"/>
    <xf numFmtId="164" fontId="0" fillId="6" borderId="0" xfId="1" applyNumberFormat="1" applyFont="1" applyFill="1" applyBorder="1" applyProtection="1"/>
    <xf numFmtId="164" fontId="0" fillId="8" borderId="0" xfId="1" applyNumberFormat="1" applyFont="1" applyFill="1" applyBorder="1" applyProtection="1"/>
    <xf numFmtId="164" fontId="0" fillId="9" borderId="0" xfId="1" applyNumberFormat="1" applyFont="1" applyFill="1" applyBorder="1" applyProtection="1"/>
    <xf numFmtId="0" fontId="9" fillId="0" borderId="0" xfId="0" applyFont="1" applyAlignment="1">
      <alignment vertical="top"/>
    </xf>
    <xf numFmtId="166" fontId="0" fillId="0" borderId="0" xfId="0" applyNumberFormat="1" applyFont="1"/>
    <xf numFmtId="0" fontId="2" fillId="0" borderId="0" xfId="0" applyFont="1" applyAlignment="1">
      <alignment horizontal="center"/>
    </xf>
    <xf numFmtId="0" fontId="2" fillId="11" borderId="16" xfId="0" applyFont="1" applyFill="1" applyBorder="1" applyAlignment="1">
      <alignment horizontal="center" vertical="center"/>
    </xf>
    <xf numFmtId="164" fontId="0" fillId="11" borderId="0" xfId="1" applyNumberFormat="1" applyFont="1" applyFill="1" applyBorder="1"/>
    <xf numFmtId="164" fontId="0" fillId="11" borderId="0" xfId="1" applyNumberFormat="1" applyFont="1" applyFill="1" applyBorder="1" applyProtection="1">
      <protection locked="0"/>
    </xf>
    <xf numFmtId="164" fontId="0" fillId="11" borderId="0" xfId="1" applyNumberFormat="1" applyFont="1" applyFill="1" applyBorder="1" applyProtection="1"/>
    <xf numFmtId="164" fontId="0" fillId="11" borderId="7" xfId="1" applyNumberFormat="1" applyFont="1" applyFill="1" applyBorder="1"/>
    <xf numFmtId="164" fontId="2" fillId="11" borderId="7" xfId="1" applyNumberFormat="1" applyFont="1" applyFill="1" applyBorder="1"/>
    <xf numFmtId="164" fontId="2" fillId="10" borderId="0" xfId="1" applyNumberFormat="1" applyFont="1" applyFill="1" applyBorder="1"/>
    <xf numFmtId="164" fontId="2" fillId="7" borderId="0" xfId="1" applyNumberFormat="1" applyFont="1" applyFill="1" applyBorder="1"/>
    <xf numFmtId="164" fontId="2" fillId="6" borderId="0" xfId="1" applyNumberFormat="1" applyFont="1" applyFill="1" applyBorder="1"/>
    <xf numFmtId="164" fontId="2" fillId="8" borderId="0" xfId="1" applyNumberFormat="1" applyFont="1" applyFill="1" applyBorder="1"/>
    <xf numFmtId="164" fontId="2" fillId="9" borderId="0" xfId="1" applyNumberFormat="1" applyFont="1" applyFill="1" applyBorder="1"/>
    <xf numFmtId="164" fontId="2" fillId="11" borderId="0" xfId="1" applyNumberFormat="1" applyFont="1" applyFill="1" applyBorder="1"/>
    <xf numFmtId="0" fontId="0" fillId="0" borderId="11" xfId="0" quotePrefix="1" applyBorder="1" applyAlignment="1">
      <alignment horizontal="left" indent="2"/>
    </xf>
    <xf numFmtId="164" fontId="0" fillId="10" borderId="8" xfId="1" applyNumberFormat="1" applyFont="1" applyFill="1" applyBorder="1" applyProtection="1"/>
    <xf numFmtId="164" fontId="0" fillId="7" borderId="9" xfId="1" applyNumberFormat="1" applyFont="1" applyFill="1" applyBorder="1" applyProtection="1"/>
    <xf numFmtId="164" fontId="0" fillId="6" borderId="9" xfId="1" applyNumberFormat="1" applyFont="1" applyFill="1" applyBorder="1" applyProtection="1"/>
    <xf numFmtId="164" fontId="0" fillId="8" borderId="9" xfId="1" applyNumberFormat="1" applyFont="1" applyFill="1" applyBorder="1" applyProtection="1"/>
    <xf numFmtId="164" fontId="0" fillId="9" borderId="9" xfId="1" applyNumberFormat="1" applyFont="1" applyFill="1" applyBorder="1" applyProtection="1"/>
    <xf numFmtId="164" fontId="0" fillId="11" borderId="9" xfId="1" applyNumberFormat="1" applyFont="1" applyFill="1" applyBorder="1" applyProtection="1"/>
    <xf numFmtId="164" fontId="2" fillId="0" borderId="10" xfId="1" applyNumberFormat="1" applyFont="1" applyBorder="1" applyProtection="1"/>
    <xf numFmtId="164" fontId="0" fillId="10" borderId="6" xfId="1" applyNumberFormat="1" applyFont="1" applyFill="1" applyBorder="1" applyProtection="1"/>
    <xf numFmtId="164" fontId="0" fillId="7" borderId="4" xfId="1" applyNumberFormat="1" applyFont="1" applyFill="1" applyBorder="1" applyProtection="1"/>
    <xf numFmtId="164" fontId="0" fillId="6" borderId="4" xfId="1" applyNumberFormat="1" applyFont="1" applyFill="1" applyBorder="1" applyProtection="1"/>
    <xf numFmtId="164" fontId="0" fillId="8" borderId="4" xfId="1" applyNumberFormat="1" applyFont="1" applyFill="1" applyBorder="1" applyProtection="1"/>
    <xf numFmtId="164" fontId="0" fillId="9" borderId="4" xfId="1" applyNumberFormat="1" applyFont="1" applyFill="1" applyBorder="1" applyProtection="1"/>
    <xf numFmtId="164" fontId="0" fillId="11" borderId="4" xfId="1" applyNumberFormat="1" applyFont="1" applyFill="1" applyBorder="1" applyProtection="1"/>
    <xf numFmtId="164" fontId="2" fillId="0" borderId="13" xfId="1" applyNumberFormat="1" applyFont="1" applyBorder="1" applyProtection="1"/>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164" fontId="0" fillId="10" borderId="1" xfId="1" applyNumberFormat="1" applyFont="1" applyFill="1" applyBorder="1" applyProtection="1">
      <protection locked="0"/>
    </xf>
    <xf numFmtId="164" fontId="0" fillId="7" borderId="1" xfId="1" applyNumberFormat="1" applyFont="1" applyFill="1" applyBorder="1" applyProtection="1">
      <protection locked="0"/>
    </xf>
    <xf numFmtId="164" fontId="0" fillId="6" borderId="1" xfId="1" applyNumberFormat="1" applyFont="1" applyFill="1" applyBorder="1" applyProtection="1">
      <protection locked="0"/>
    </xf>
    <xf numFmtId="164" fontId="0" fillId="8" borderId="1" xfId="1" applyNumberFormat="1" applyFont="1" applyFill="1" applyBorder="1" applyProtection="1">
      <protection locked="0"/>
    </xf>
    <xf numFmtId="164" fontId="0" fillId="9" borderId="1" xfId="1" applyNumberFormat="1" applyFont="1" applyFill="1" applyBorder="1" applyProtection="1">
      <protection locked="0"/>
    </xf>
    <xf numFmtId="164" fontId="0" fillId="11" borderId="1" xfId="1" applyNumberFormat="1" applyFont="1" applyFill="1" applyBorder="1" applyProtection="1">
      <protection locked="0"/>
    </xf>
    <xf numFmtId="0" fontId="2" fillId="0" borderId="14" xfId="0" applyFont="1" applyBorder="1"/>
    <xf numFmtId="164" fontId="0" fillId="10" borderId="4" xfId="1" applyNumberFormat="1" applyFont="1" applyFill="1" applyBorder="1" applyProtection="1"/>
    <xf numFmtId="0" fontId="2" fillId="0" borderId="13" xfId="0" applyFont="1" applyBorder="1"/>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2" xfId="0" applyFont="1" applyFill="1" applyBorder="1" applyAlignment="1">
      <alignment horizontal="left" vertical="top" wrapText="1"/>
    </xf>
    <xf numFmtId="0" fontId="2" fillId="0" borderId="5" xfId="0" applyFont="1" applyFill="1" applyBorder="1" applyAlignment="1">
      <alignment horizontal="left" vertical="top"/>
    </xf>
    <xf numFmtId="0" fontId="2" fillId="0" borderId="3" xfId="0" applyFont="1" applyFill="1" applyBorder="1" applyAlignment="1">
      <alignment horizontal="left" vertical="top"/>
    </xf>
    <xf numFmtId="0" fontId="0" fillId="0" borderId="4"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Fill="1" applyBorder="1" applyAlignment="1">
      <alignment horizontal="left" vertical="top" wrapText="1"/>
    </xf>
    <xf numFmtId="0" fontId="0" fillId="0" borderId="13" xfId="0" applyFill="1"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customXml" Target="../ink/ink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1</xdr:row>
      <xdr:rowOff>130969</xdr:rowOff>
    </xdr:from>
    <xdr:to>
      <xdr:col>7</xdr:col>
      <xdr:colOff>631031</xdr:colOff>
      <xdr:row>4</xdr:row>
      <xdr:rowOff>42863</xdr:rowOff>
    </xdr:to>
    <xdr:pic>
      <xdr:nvPicPr>
        <xdr:cNvPr id="2" name="Picture 1" descr="Cadesky-Horizontal-logo.400.jpg"/>
        <xdr:cNvPicPr>
          <a:picLocks noChangeAspect="1"/>
        </xdr:cNvPicPr>
      </xdr:nvPicPr>
      <xdr:blipFill>
        <a:blip xmlns:r="http://schemas.openxmlformats.org/officeDocument/2006/relationships" r:embed="rId1" cstate="print"/>
        <a:stretch>
          <a:fillRect/>
        </a:stretch>
      </xdr:blipFill>
      <xdr:spPr>
        <a:xfrm>
          <a:off x="4988719" y="321469"/>
          <a:ext cx="38100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419100</xdr:colOff>
          <xdr:row>48</xdr:row>
          <xdr:rowOff>133350</xdr:rowOff>
        </xdr:from>
        <xdr:to>
          <xdr:col>8</xdr:col>
          <xdr:colOff>76200</xdr:colOff>
          <xdr:row>50</xdr:row>
          <xdr:rowOff>152400</xdr:rowOff>
        </xdr:to>
        <xdr:pic>
          <xdr:nvPicPr>
            <xdr:cNvPr id="8199" name="Picture 7"/>
            <xdr:cNvPicPr>
              <a:picLocks noChangeAspect="1" noChangeArrowheads="1"/>
              <a:extLst>
                <a:ext uri="{84589F7E-364E-4C9E-8A38-B11213B215E9}">
                  <a14:cameraTool cellRange="'Data for summary'!$A$5:$B$5" spid="_x0000_s8487"/>
                </a:ext>
              </a:extLst>
            </xdr:cNvPicPr>
          </xdr:nvPicPr>
          <xdr:blipFill>
            <a:blip xmlns:r="http://schemas.openxmlformats.org/officeDocument/2006/relationships" r:embed="rId2"/>
            <a:srcRect/>
            <a:stretch>
              <a:fillRect/>
            </a:stretch>
          </xdr:blipFill>
          <xdr:spPr bwMode="auto">
            <a:xfrm>
              <a:off x="5114925" y="12106275"/>
              <a:ext cx="3962400" cy="400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1028700</xdr:colOff>
          <xdr:row>48</xdr:row>
          <xdr:rowOff>133350</xdr:rowOff>
        </xdr:from>
        <xdr:to>
          <xdr:col>4</xdr:col>
          <xdr:colOff>314325</xdr:colOff>
          <xdr:row>50</xdr:row>
          <xdr:rowOff>152400</xdr:rowOff>
        </xdr:to>
        <xdr:pic>
          <xdr:nvPicPr>
            <xdr:cNvPr id="8200" name="Picture 8"/>
            <xdr:cNvPicPr>
              <a:picLocks noChangeAspect="1" noChangeArrowheads="1"/>
              <a:extLst>
                <a:ext uri="{84589F7E-364E-4C9E-8A38-B11213B215E9}">
                  <a14:cameraTool cellRange="'Data for summary'!$A$3:$B$3" spid="_x0000_s8488"/>
                </a:ext>
              </a:extLst>
            </xdr:cNvPicPr>
          </xdr:nvPicPr>
          <xdr:blipFill>
            <a:blip xmlns:r="http://schemas.openxmlformats.org/officeDocument/2006/relationships" r:embed="rId3"/>
            <a:srcRect/>
            <a:stretch>
              <a:fillRect/>
            </a:stretch>
          </xdr:blipFill>
          <xdr:spPr bwMode="auto">
            <a:xfrm>
              <a:off x="1028700" y="12106275"/>
              <a:ext cx="3981450" cy="400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723900</xdr:colOff>
          <xdr:row>52</xdr:row>
          <xdr:rowOff>38100</xdr:rowOff>
        </xdr:from>
        <xdr:to>
          <xdr:col>5</xdr:col>
          <xdr:colOff>523875</xdr:colOff>
          <xdr:row>54</xdr:row>
          <xdr:rowOff>57150</xdr:rowOff>
        </xdr:to>
        <xdr:pic>
          <xdr:nvPicPr>
            <xdr:cNvPr id="8201" name="Picture 9"/>
            <xdr:cNvPicPr>
              <a:picLocks noChangeAspect="1" noChangeArrowheads="1"/>
              <a:extLst>
                <a:ext uri="{84589F7E-364E-4C9E-8A38-B11213B215E9}">
                  <a14:cameraTool cellRange="'Data for summary'!$A$7:$B$7" spid="_x0000_s8489"/>
                </a:ext>
              </a:extLst>
            </xdr:cNvPicPr>
          </xdr:nvPicPr>
          <xdr:blipFill>
            <a:blip xmlns:r="http://schemas.openxmlformats.org/officeDocument/2006/relationships" r:embed="rId4"/>
            <a:srcRect/>
            <a:stretch>
              <a:fillRect/>
            </a:stretch>
          </xdr:blipFill>
          <xdr:spPr bwMode="auto">
            <a:xfrm>
              <a:off x="3019425" y="12773025"/>
              <a:ext cx="3962400" cy="400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714375</xdr:colOff>
          <xdr:row>55</xdr:row>
          <xdr:rowOff>38100</xdr:rowOff>
        </xdr:from>
        <xdr:to>
          <xdr:col>5</xdr:col>
          <xdr:colOff>514350</xdr:colOff>
          <xdr:row>57</xdr:row>
          <xdr:rowOff>57150</xdr:rowOff>
        </xdr:to>
        <xdr:pic>
          <xdr:nvPicPr>
            <xdr:cNvPr id="8202" name="Picture 10"/>
            <xdr:cNvPicPr>
              <a:picLocks noChangeAspect="1" noChangeArrowheads="1"/>
              <a:extLst>
                <a:ext uri="{84589F7E-364E-4C9E-8A38-B11213B215E9}">
                  <a14:cameraTool cellRange="'Data for summary'!$A$11:$B$11" spid="_x0000_s8490"/>
                </a:ext>
              </a:extLst>
            </xdr:cNvPicPr>
          </xdr:nvPicPr>
          <xdr:blipFill>
            <a:blip xmlns:r="http://schemas.openxmlformats.org/officeDocument/2006/relationships" r:embed="rId5"/>
            <a:srcRect/>
            <a:stretch>
              <a:fillRect/>
            </a:stretch>
          </xdr:blipFill>
          <xdr:spPr bwMode="auto">
            <a:xfrm>
              <a:off x="3009900" y="13344525"/>
              <a:ext cx="3962400" cy="4000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1549</xdr:col>
      <xdr:colOff>466725</xdr:colOff>
      <xdr:row>7906</xdr:row>
      <xdr:rowOff>85725</xdr:rowOff>
    </xdr:from>
    <xdr:to>
      <xdr:col>1549</xdr:col>
      <xdr:colOff>466725</xdr:colOff>
      <xdr:row>7906</xdr:row>
      <xdr:rowOff>85725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4"/>
            <xdr14:cNvContentPartPr>
              <a14:cpLocks xmlns:a14="http://schemas.microsoft.com/office/drawing/2010/main" noRot="1" noChangeAspect="1" noEditPoints="1" noChangeArrowheads="1" noChangeShapeType="1"/>
            </xdr14:cNvContentPartPr>
          </xdr14:nvContentPartPr>
          <xdr14:nvPr macro=""/>
          <xdr14:xfrm>
            <a:off x="957929250" y="1507016925"/>
            <a:ext cx="0" cy="0"/>
          </xdr14:xfrm>
        </xdr:contentPart>
      </mc:Choice>
      <mc:Fallback xmlns="">
        <xdr:pic>
          <xdr:nvPicPr>
            <xdr:cNvPr id="2" name="Ink 4"/>
            <xdr:cNvPicPr>
              <a:picLocks noRot="1" noChangeAspect="1" noEditPoints="1" noChangeArrowheads="1" noChangeShapeType="1"/>
            </xdr:cNvPicPr>
          </xdr:nvPicPr>
          <xdr:blipFill>
            <a:blip xmlns:r="http://schemas.openxmlformats.org/officeDocument/2006/relationships" r:embed="rId2"/>
            <a:stretch>
              <a:fillRect/>
            </a:stretch>
          </xdr:blipFill>
          <xdr:spPr>
            <a:xfrm>
              <a:off x="957929250" y="1507016925"/>
              <a:ext cx="0" cy="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1280" units="cm"/>
          <inkml:channel name="Y" type="integer" max="800" units="cm"/>
        </inkml:traceFormat>
        <inkml:channelProperties>
          <inkml:channelProperty channel="X" name="resolution" value="28.31858" units="1/cm"/>
          <inkml:channelProperty channel="Y" name="resolution" value="28.36879" units="1/cm"/>
        </inkml:channelProperties>
      </inkml:inkSource>
      <inkml:timestamp xml:id="ts0" timeString="2014-08-19T14:34:16.474"/>
    </inkml:context>
    <inkml:brush xml:id="br0">
      <inkml:brushProperty name="width" value="0.05292" units="cm"/>
      <inkml:brushProperty name="height" value="0.05292" units="cm"/>
      <inkml:brushProperty name="color" value="#FF0000"/>
      <inkml:brushProperty name="fitToCurve" value="1"/>
    </inkml:brush>
  </inkml:definitions>
  <inkml:trace contextRef="#ctx0" brushRef="#br0">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9"/>
  <sheetViews>
    <sheetView showGridLines="0" tabSelected="1" topLeftCell="A13" zoomScale="80" zoomScaleNormal="80" zoomScaleSheetLayoutView="100" workbookViewId="0">
      <selection activeCell="X17" sqref="X17"/>
    </sheetView>
  </sheetViews>
  <sheetFormatPr defaultColWidth="9.140625" defaultRowHeight="15" x14ac:dyDescent="0.25"/>
  <cols>
    <col min="1" max="1" width="34.42578125" style="19" customWidth="1"/>
    <col min="2" max="2" width="16" style="19" customWidth="1"/>
    <col min="3" max="3" width="19.42578125" style="19" customWidth="1"/>
    <col min="4" max="4" width="0.5703125" style="19" customWidth="1"/>
    <col min="5" max="5" width="26.42578125" style="19" customWidth="1"/>
    <col min="6" max="6" width="15.85546875" style="19" customWidth="1"/>
    <col min="7" max="7" width="11" style="19" bestFit="1" customWidth="1"/>
    <col min="8" max="8" width="11.28515625" style="19" bestFit="1" customWidth="1"/>
    <col min="9" max="11" width="11" style="19" bestFit="1" customWidth="1"/>
    <col min="12" max="12" width="11" style="19" customWidth="1"/>
    <col min="13" max="13" width="12.85546875" style="19" customWidth="1"/>
    <col min="14" max="14" width="9.140625" style="19"/>
    <col min="15" max="16" width="9.140625" style="19" customWidth="1"/>
    <col min="17" max="16384" width="9.140625" style="19"/>
  </cols>
  <sheetData>
    <row r="1" spans="1:8" ht="9" customHeight="1" x14ac:dyDescent="0.25"/>
    <row r="2" spans="1:8" ht="23.25" customHeight="1" thickBot="1" x14ac:dyDescent="0.3">
      <c r="A2" s="194" t="s">
        <v>131</v>
      </c>
    </row>
    <row r="3" spans="1:8" ht="18.75" x14ac:dyDescent="0.3">
      <c r="A3" s="64" t="s">
        <v>134</v>
      </c>
      <c r="B3" s="66"/>
      <c r="C3" s="181">
        <v>500000</v>
      </c>
    </row>
    <row r="4" spans="1:8" ht="18.75" x14ac:dyDescent="0.3">
      <c r="A4" s="68" t="s">
        <v>83</v>
      </c>
      <c r="B4" s="63"/>
      <c r="C4" s="182">
        <v>500000</v>
      </c>
    </row>
    <row r="5" spans="1:8" ht="19.5" thickBot="1" x14ac:dyDescent="0.35">
      <c r="A5" s="69" t="s">
        <v>132</v>
      </c>
      <c r="B5" s="71"/>
      <c r="C5" s="183">
        <v>100000</v>
      </c>
    </row>
    <row r="6" spans="1:8" s="26" customFormat="1" ht="3" customHeight="1" thickBot="1" x14ac:dyDescent="0.3"/>
    <row r="7" spans="1:8" ht="58.5" customHeight="1" thickBot="1" x14ac:dyDescent="0.3">
      <c r="A7" s="246" t="s">
        <v>107</v>
      </c>
      <c r="B7" s="247"/>
      <c r="C7" s="248"/>
      <c r="D7" s="148"/>
      <c r="E7" s="243" t="s">
        <v>116</v>
      </c>
      <c r="F7" s="244"/>
      <c r="G7" s="244"/>
      <c r="H7" s="245"/>
    </row>
    <row r="8" spans="1:8" x14ac:dyDescent="0.25">
      <c r="A8" s="147"/>
      <c r="B8" s="135"/>
      <c r="C8" s="136"/>
      <c r="D8" s="24"/>
      <c r="E8" s="147"/>
      <c r="F8" s="135"/>
      <c r="G8" s="135"/>
      <c r="H8" s="136"/>
    </row>
    <row r="9" spans="1:8" x14ac:dyDescent="0.25">
      <c r="A9" s="34" t="s">
        <v>101</v>
      </c>
      <c r="B9" s="44">
        <f>Calculation!K77</f>
        <v>0</v>
      </c>
      <c r="C9" s="35"/>
      <c r="D9" s="24"/>
      <c r="E9" s="34" t="s">
        <v>101</v>
      </c>
      <c r="F9" s="24"/>
      <c r="G9" s="44">
        <f>Calculation!O77</f>
        <v>0</v>
      </c>
      <c r="H9" s="88"/>
    </row>
    <row r="10" spans="1:8" x14ac:dyDescent="0.25">
      <c r="A10" s="34" t="s">
        <v>102</v>
      </c>
      <c r="B10" s="44">
        <f>Calculation!K76</f>
        <v>0</v>
      </c>
      <c r="C10" s="35"/>
      <c r="E10" s="34" t="s">
        <v>102</v>
      </c>
      <c r="F10" s="24"/>
      <c r="G10" s="44">
        <f>Calculation!O76</f>
        <v>61000</v>
      </c>
      <c r="H10" s="88"/>
    </row>
    <row r="11" spans="1:8" x14ac:dyDescent="0.25">
      <c r="A11" s="34" t="s">
        <v>26</v>
      </c>
      <c r="B11" s="97">
        <f>Calculation!T80</f>
        <v>228718.29528000002</v>
      </c>
      <c r="C11" s="35"/>
      <c r="E11" s="34" t="s">
        <v>26</v>
      </c>
      <c r="F11" s="24"/>
      <c r="G11" s="45">
        <f>Calculation!O67</f>
        <v>162441.30348000003</v>
      </c>
      <c r="H11" s="88"/>
    </row>
    <row r="12" spans="1:8" x14ac:dyDescent="0.25">
      <c r="A12" s="39" t="s">
        <v>18</v>
      </c>
      <c r="B12" s="40"/>
      <c r="C12" s="89">
        <f>SUM(B9:B11)</f>
        <v>228718.29528000002</v>
      </c>
      <c r="D12" s="169"/>
      <c r="E12" s="39" t="s">
        <v>18</v>
      </c>
      <c r="F12" s="40"/>
      <c r="G12" s="45"/>
      <c r="H12" s="89">
        <f>SUM(G9:G11)</f>
        <v>223441.30348000003</v>
      </c>
    </row>
    <row r="13" spans="1:8" x14ac:dyDescent="0.25">
      <c r="A13" s="39" t="s">
        <v>19</v>
      </c>
      <c r="B13" s="40"/>
      <c r="C13" s="58">
        <f>B11/C3</f>
        <v>0.45743659056000002</v>
      </c>
      <c r="D13" s="26"/>
      <c r="E13" s="39" t="s">
        <v>19</v>
      </c>
      <c r="F13" s="40"/>
      <c r="G13" s="45"/>
      <c r="H13" s="58">
        <f>H12/C3</f>
        <v>0.44688260696000004</v>
      </c>
    </row>
    <row r="14" spans="1:8" x14ac:dyDescent="0.25">
      <c r="A14" s="34"/>
      <c r="B14" s="24"/>
      <c r="C14" s="35"/>
      <c r="E14" s="39" t="s">
        <v>42</v>
      </c>
      <c r="F14" s="40"/>
      <c r="G14" s="45"/>
      <c r="H14" s="150">
        <f>Calculation!O95</f>
        <v>0</v>
      </c>
    </row>
    <row r="15" spans="1:8" ht="45.75" customHeight="1" thickBot="1" x14ac:dyDescent="0.3">
      <c r="A15" s="170" t="s">
        <v>33</v>
      </c>
      <c r="B15" s="28"/>
      <c r="C15" s="36"/>
      <c r="E15" s="239" t="s">
        <v>150</v>
      </c>
      <c r="F15" s="240"/>
      <c r="G15" s="240"/>
      <c r="H15" s="241"/>
    </row>
    <row r="16" spans="1:8" ht="3" customHeight="1" thickBot="1" x14ac:dyDescent="0.3"/>
    <row r="17" spans="1:13" ht="39" customHeight="1" thickBot="1" x14ac:dyDescent="0.3">
      <c r="A17" s="252" t="s">
        <v>139</v>
      </c>
      <c r="B17" s="253"/>
      <c r="C17" s="254"/>
      <c r="E17" s="249" t="s">
        <v>117</v>
      </c>
      <c r="F17" s="250"/>
      <c r="G17" s="250"/>
      <c r="H17" s="250"/>
      <c r="I17" s="250"/>
      <c r="J17" s="250"/>
      <c r="K17" s="250"/>
      <c r="L17" s="250"/>
      <c r="M17" s="251"/>
    </row>
    <row r="18" spans="1:13" ht="47.25" x14ac:dyDescent="0.25">
      <c r="A18" s="163"/>
      <c r="B18" s="146" t="s">
        <v>84</v>
      </c>
      <c r="C18" s="164"/>
      <c r="D18" s="149"/>
      <c r="E18" s="157"/>
      <c r="F18" s="146" t="s">
        <v>115</v>
      </c>
      <c r="G18" s="174" t="s">
        <v>63</v>
      </c>
      <c r="H18" s="158" t="s">
        <v>54</v>
      </c>
      <c r="I18" s="159" t="s">
        <v>55</v>
      </c>
      <c r="J18" s="160" t="s">
        <v>56</v>
      </c>
      <c r="K18" s="161" t="s">
        <v>57</v>
      </c>
      <c r="L18" s="197" t="s">
        <v>135</v>
      </c>
      <c r="M18" s="162" t="s">
        <v>59</v>
      </c>
    </row>
    <row r="19" spans="1:13" x14ac:dyDescent="0.25">
      <c r="A19" s="52" t="s">
        <v>0</v>
      </c>
      <c r="B19" s="47">
        <f>M20</f>
        <v>0</v>
      </c>
      <c r="C19" s="38"/>
      <c r="E19" s="34"/>
      <c r="F19" s="97"/>
      <c r="G19" s="175"/>
      <c r="H19" s="115"/>
      <c r="I19" s="116"/>
      <c r="J19" s="117"/>
      <c r="K19" s="118"/>
      <c r="L19" s="198"/>
      <c r="M19" s="119"/>
    </row>
    <row r="20" spans="1:13" x14ac:dyDescent="0.25">
      <c r="A20" s="151" t="s">
        <v>13</v>
      </c>
      <c r="B20" s="47">
        <f>'Calc corp tax comb'!I35</f>
        <v>0</v>
      </c>
      <c r="C20" s="38"/>
      <c r="E20" s="34" t="s">
        <v>58</v>
      </c>
      <c r="F20" s="97">
        <f>ROUNDDOWN('Calc corp tax comb'!B54,0)</f>
        <v>500000</v>
      </c>
      <c r="G20" s="184">
        <v>0</v>
      </c>
      <c r="H20" s="185">
        <v>0</v>
      </c>
      <c r="I20" s="186">
        <v>0</v>
      </c>
      <c r="J20" s="187">
        <v>0</v>
      </c>
      <c r="K20" s="188">
        <v>0</v>
      </c>
      <c r="L20" s="199">
        <v>0</v>
      </c>
      <c r="M20" s="150">
        <f>SUM(G20:L20)</f>
        <v>0</v>
      </c>
    </row>
    <row r="21" spans="1:13" ht="18" thickBot="1" x14ac:dyDescent="0.3">
      <c r="A21" s="152" t="s">
        <v>30</v>
      </c>
      <c r="B21" s="47">
        <f>'Calc corp tax comb'!I36</f>
        <v>0</v>
      </c>
      <c r="C21" s="38"/>
      <c r="E21" s="34" t="s">
        <v>146</v>
      </c>
      <c r="F21" s="97">
        <f>ROUNDDOWN(C3-M20-M21-'Calc corp tax comb'!B16,0)</f>
        <v>439000</v>
      </c>
      <c r="G21" s="184">
        <v>0</v>
      </c>
      <c r="H21" s="185">
        <v>0</v>
      </c>
      <c r="I21" s="186">
        <v>0</v>
      </c>
      <c r="J21" s="187">
        <v>0</v>
      </c>
      <c r="K21" s="188">
        <v>0</v>
      </c>
      <c r="L21" s="199">
        <v>0</v>
      </c>
      <c r="M21" s="150">
        <f>SUM(G21:L21)</f>
        <v>0</v>
      </c>
    </row>
    <row r="22" spans="1:13" x14ac:dyDescent="0.25">
      <c r="A22" s="37"/>
      <c r="B22" s="24"/>
      <c r="C22" s="56"/>
      <c r="E22" s="209" t="s">
        <v>144</v>
      </c>
      <c r="F22" s="97"/>
      <c r="G22" s="210">
        <f>+'Calc corp tax comb'!C35</f>
        <v>0</v>
      </c>
      <c r="H22" s="211">
        <f>+'Calc corp tax comb'!D35</f>
        <v>0</v>
      </c>
      <c r="I22" s="212">
        <f>+'Calc corp tax comb'!E35</f>
        <v>0</v>
      </c>
      <c r="J22" s="213">
        <f>+'Calc corp tax comb'!F35</f>
        <v>0</v>
      </c>
      <c r="K22" s="214">
        <f>+'Calc corp tax comb'!G35</f>
        <v>0</v>
      </c>
      <c r="L22" s="215">
        <f>+'Calc corp tax comb'!H35</f>
        <v>0</v>
      </c>
      <c r="M22" s="216">
        <f>+SUM(G22:L22)</f>
        <v>0</v>
      </c>
    </row>
    <row r="23" spans="1:13" ht="15.75" thickBot="1" x14ac:dyDescent="0.3">
      <c r="A23" s="34" t="s">
        <v>101</v>
      </c>
      <c r="B23" s="44">
        <f>'Calc corp tax comb'!B15</f>
        <v>0</v>
      </c>
      <c r="C23" s="38"/>
      <c r="E23" s="209" t="s">
        <v>145</v>
      </c>
      <c r="F23" s="97"/>
      <c r="G23" s="217">
        <f>+'Calc corp tax comb'!C36</f>
        <v>0</v>
      </c>
      <c r="H23" s="218">
        <f>+'Calc corp tax comb'!D36</f>
        <v>0</v>
      </c>
      <c r="I23" s="219">
        <f>+'Calc corp tax comb'!E36</f>
        <v>0</v>
      </c>
      <c r="J23" s="220">
        <f>+'Calc corp tax comb'!F36</f>
        <v>0</v>
      </c>
      <c r="K23" s="221">
        <f>+'Calc corp tax comb'!G36</f>
        <v>0</v>
      </c>
      <c r="L23" s="222">
        <f>+'Calc corp tax comb'!H36</f>
        <v>0</v>
      </c>
      <c r="M23" s="223">
        <f>SUM(G23:L23)</f>
        <v>0</v>
      </c>
    </row>
    <row r="24" spans="1:13" x14ac:dyDescent="0.25">
      <c r="A24" s="34" t="s">
        <v>102</v>
      </c>
      <c r="B24" s="44">
        <f>'Calc corp tax comb'!B14</f>
        <v>61000</v>
      </c>
      <c r="C24" s="38"/>
      <c r="E24" s="34" t="s">
        <v>119</v>
      </c>
      <c r="F24" s="97"/>
      <c r="G24" s="184">
        <v>0</v>
      </c>
      <c r="H24" s="185">
        <v>0</v>
      </c>
      <c r="I24" s="186">
        <v>0</v>
      </c>
      <c r="J24" s="187">
        <v>0</v>
      </c>
      <c r="K24" s="188">
        <v>0</v>
      </c>
      <c r="L24" s="199">
        <v>0</v>
      </c>
      <c r="M24" s="150">
        <f>SUM(G24:L24)</f>
        <v>0</v>
      </c>
    </row>
    <row r="25" spans="1:13" x14ac:dyDescent="0.25">
      <c r="A25" s="34" t="s">
        <v>26</v>
      </c>
      <c r="B25" s="44">
        <f>Calculation!DB67</f>
        <v>0</v>
      </c>
      <c r="C25" s="35"/>
      <c r="E25" s="53"/>
      <c r="F25" s="99"/>
      <c r="G25" s="189"/>
      <c r="H25" s="190"/>
      <c r="I25" s="191"/>
      <c r="J25" s="192"/>
      <c r="K25" s="193"/>
      <c r="L25" s="200"/>
      <c r="M25" s="167"/>
    </row>
    <row r="26" spans="1:13" ht="15.75" thickBot="1" x14ac:dyDescent="0.3">
      <c r="A26" s="39" t="s">
        <v>18</v>
      </c>
      <c r="B26" s="40"/>
      <c r="C26" s="172">
        <f>SUM(B23:B25)</f>
        <v>61000</v>
      </c>
      <c r="E26" s="37" t="s">
        <v>158</v>
      </c>
      <c r="F26" s="99"/>
      <c r="G26" s="176">
        <f>+SUM(G20,G21,G24)</f>
        <v>0</v>
      </c>
      <c r="H26" s="120">
        <f t="shared" ref="H26:L26" si="0">+SUM(H20,H21,H24)</f>
        <v>0</v>
      </c>
      <c r="I26" s="121">
        <f t="shared" si="0"/>
        <v>0</v>
      </c>
      <c r="J26" s="122">
        <f t="shared" si="0"/>
        <v>0</v>
      </c>
      <c r="K26" s="123">
        <f t="shared" si="0"/>
        <v>0</v>
      </c>
      <c r="L26" s="201">
        <f t="shared" si="0"/>
        <v>0</v>
      </c>
      <c r="M26" s="128">
        <f>SUM(G26:L26)</f>
        <v>0</v>
      </c>
    </row>
    <row r="27" spans="1:13" x14ac:dyDescent="0.25">
      <c r="A27" s="39" t="s">
        <v>19</v>
      </c>
      <c r="B27" s="40"/>
      <c r="C27" s="58">
        <f>C26/C3</f>
        <v>0.122</v>
      </c>
      <c r="E27" s="34"/>
      <c r="F27" s="95"/>
      <c r="G27" s="175"/>
      <c r="H27" s="115"/>
      <c r="I27" s="116"/>
      <c r="J27" s="117"/>
      <c r="K27" s="118"/>
      <c r="L27" s="198"/>
      <c r="M27" s="150"/>
    </row>
    <row r="28" spans="1:13" x14ac:dyDescent="0.25">
      <c r="A28" s="34"/>
      <c r="B28" s="24"/>
      <c r="C28" s="35"/>
      <c r="E28" s="39" t="s">
        <v>140</v>
      </c>
      <c r="F28" s="87"/>
      <c r="G28" s="175"/>
      <c r="H28" s="115"/>
      <c r="I28" s="116"/>
      <c r="J28" s="117"/>
      <c r="K28" s="118"/>
      <c r="L28" s="198"/>
      <c r="M28" s="150"/>
    </row>
    <row r="29" spans="1:13" x14ac:dyDescent="0.25">
      <c r="A29" s="37" t="s">
        <v>85</v>
      </c>
      <c r="B29" s="24"/>
      <c r="C29" s="144">
        <f>ROUNDDOWN('Calc corp tax comb'!B68, 0)</f>
        <v>439000</v>
      </c>
      <c r="E29" s="34" t="s">
        <v>141</v>
      </c>
      <c r="F29" s="95"/>
      <c r="G29" s="184">
        <v>0</v>
      </c>
      <c r="H29" s="185">
        <v>0</v>
      </c>
      <c r="I29" s="186">
        <v>0</v>
      </c>
      <c r="J29" s="187">
        <v>0</v>
      </c>
      <c r="K29" s="188">
        <v>0</v>
      </c>
      <c r="L29" s="199">
        <v>0</v>
      </c>
      <c r="M29" s="150"/>
    </row>
    <row r="30" spans="1:13" ht="17.25" x14ac:dyDescent="0.25">
      <c r="A30" s="39" t="s">
        <v>111</v>
      </c>
      <c r="B30" s="24"/>
      <c r="C30" s="180">
        <f>ROUNDDOWN('Calc corp tax comb'!B77,0)</f>
        <v>201178</v>
      </c>
      <c r="E30" s="34" t="s">
        <v>106</v>
      </c>
      <c r="F30" s="24"/>
      <c r="G30" s="230">
        <v>0</v>
      </c>
      <c r="H30" s="231">
        <v>0</v>
      </c>
      <c r="I30" s="232">
        <v>0</v>
      </c>
      <c r="J30" s="233">
        <v>0</v>
      </c>
      <c r="K30" s="234">
        <v>0</v>
      </c>
      <c r="L30" s="235">
        <v>0</v>
      </c>
      <c r="M30" s="236"/>
    </row>
    <row r="31" spans="1:13" x14ac:dyDescent="0.25">
      <c r="A31" s="39"/>
      <c r="B31" s="24"/>
      <c r="C31" s="180"/>
      <c r="E31" s="39" t="s">
        <v>158</v>
      </c>
      <c r="F31" s="24"/>
      <c r="G31" s="184">
        <f t="shared" ref="G31:L31" si="1">G26-SUM(G29:G30)</f>
        <v>0</v>
      </c>
      <c r="H31" s="185">
        <f t="shared" si="1"/>
        <v>0</v>
      </c>
      <c r="I31" s="186">
        <f t="shared" si="1"/>
        <v>0</v>
      </c>
      <c r="J31" s="187">
        <f t="shared" si="1"/>
        <v>0</v>
      </c>
      <c r="K31" s="188">
        <f t="shared" si="1"/>
        <v>0</v>
      </c>
      <c r="L31" s="199">
        <f t="shared" si="1"/>
        <v>0</v>
      </c>
      <c r="M31" s="168"/>
    </row>
    <row r="32" spans="1:13" ht="48" thickBot="1" x14ac:dyDescent="0.3">
      <c r="A32" s="171" t="s">
        <v>118</v>
      </c>
      <c r="B32" s="24"/>
      <c r="C32" s="180">
        <f>Calculation!AF67-B25</f>
        <v>0</v>
      </c>
      <c r="E32" s="39" t="s">
        <v>159</v>
      </c>
      <c r="F32" s="24"/>
      <c r="G32" s="237">
        <f>+Calculation!AK19</f>
        <v>0</v>
      </c>
      <c r="H32" s="218">
        <f>+Calculation!AW19</f>
        <v>0</v>
      </c>
      <c r="I32" s="219">
        <f>+Calculation!BI19</f>
        <v>0</v>
      </c>
      <c r="J32" s="220">
        <f>Calculation!BU19</f>
        <v>0</v>
      </c>
      <c r="K32" s="221">
        <f>+Calculation!CG19</f>
        <v>0</v>
      </c>
      <c r="L32" s="222">
        <f>Calculation!CS19</f>
        <v>0</v>
      </c>
      <c r="M32" s="238"/>
    </row>
    <row r="33" spans="1:13" x14ac:dyDescent="0.25">
      <c r="A33" s="39" t="s">
        <v>105</v>
      </c>
      <c r="B33" s="24"/>
      <c r="C33" s="180">
        <f>'Calc corp tax comb'!B28</f>
        <v>100000</v>
      </c>
      <c r="E33" s="39"/>
      <c r="F33" s="24"/>
      <c r="G33" s="184"/>
      <c r="H33" s="185"/>
      <c r="I33" s="186"/>
      <c r="J33" s="187"/>
      <c r="K33" s="188"/>
      <c r="L33" s="199"/>
      <c r="M33" s="168"/>
    </row>
    <row r="34" spans="1:13" x14ac:dyDescent="0.25">
      <c r="A34" s="39"/>
      <c r="B34" s="24"/>
      <c r="C34" s="180"/>
      <c r="E34" s="39"/>
      <c r="F34" s="24"/>
      <c r="G34" s="184"/>
      <c r="H34" s="185"/>
      <c r="I34" s="186"/>
      <c r="J34" s="187"/>
      <c r="K34" s="188"/>
      <c r="L34" s="199"/>
      <c r="M34" s="168"/>
    </row>
    <row r="35" spans="1:13" ht="15" customHeight="1" x14ac:dyDescent="0.25">
      <c r="A35" s="264" t="s">
        <v>151</v>
      </c>
      <c r="B35" s="264"/>
      <c r="C35" s="265"/>
      <c r="E35" s="34" t="s">
        <v>147</v>
      </c>
      <c r="F35" s="24"/>
      <c r="G35" s="184">
        <v>0</v>
      </c>
      <c r="H35" s="185">
        <v>0</v>
      </c>
      <c r="I35" s="186">
        <v>0</v>
      </c>
      <c r="J35" s="187">
        <v>0</v>
      </c>
      <c r="K35" s="188">
        <v>0</v>
      </c>
      <c r="L35" s="199">
        <v>0</v>
      </c>
      <c r="M35" s="168"/>
    </row>
    <row r="36" spans="1:13" x14ac:dyDescent="0.25">
      <c r="A36" s="264"/>
      <c r="B36" s="264"/>
      <c r="C36" s="265"/>
      <c r="E36" s="34" t="s">
        <v>154</v>
      </c>
      <c r="F36" s="24"/>
      <c r="G36" s="184">
        <v>0</v>
      </c>
      <c r="H36" s="185">
        <v>0</v>
      </c>
      <c r="I36" s="186">
        <v>0</v>
      </c>
      <c r="J36" s="187">
        <v>0</v>
      </c>
      <c r="K36" s="188">
        <v>0</v>
      </c>
      <c r="L36" s="199">
        <v>0</v>
      </c>
      <c r="M36" s="168"/>
    </row>
    <row r="37" spans="1:13" ht="17.25" x14ac:dyDescent="0.25">
      <c r="A37" s="264"/>
      <c r="B37" s="264"/>
      <c r="C37" s="265"/>
      <c r="E37" s="53" t="s">
        <v>113</v>
      </c>
      <c r="F37" s="99"/>
      <c r="G37" s="184">
        <v>0</v>
      </c>
      <c r="H37" s="185">
        <v>0</v>
      </c>
      <c r="I37" s="186">
        <v>0</v>
      </c>
      <c r="J37" s="187">
        <v>0</v>
      </c>
      <c r="K37" s="188">
        <v>0</v>
      </c>
      <c r="L37" s="199">
        <v>0</v>
      </c>
      <c r="M37" s="150"/>
    </row>
    <row r="38" spans="1:13" ht="17.25" x14ac:dyDescent="0.25">
      <c r="A38" s="264"/>
      <c r="B38" s="264"/>
      <c r="C38" s="265"/>
      <c r="E38" s="53" t="s">
        <v>114</v>
      </c>
      <c r="F38" s="99"/>
      <c r="G38" s="184">
        <v>0</v>
      </c>
      <c r="H38" s="185">
        <v>0</v>
      </c>
      <c r="I38" s="186">
        <v>0</v>
      </c>
      <c r="J38" s="187">
        <v>0</v>
      </c>
      <c r="K38" s="188">
        <v>0</v>
      </c>
      <c r="L38" s="199">
        <v>0</v>
      </c>
      <c r="M38" s="150"/>
    </row>
    <row r="39" spans="1:13" ht="20.25" customHeight="1" x14ac:dyDescent="0.25">
      <c r="A39" s="224"/>
      <c r="B39" s="225"/>
      <c r="C39" s="226"/>
      <c r="E39" s="34"/>
      <c r="F39" s="95"/>
      <c r="G39" s="175"/>
      <c r="H39" s="115"/>
      <c r="I39" s="116"/>
      <c r="J39" s="117"/>
      <c r="K39" s="118"/>
      <c r="L39" s="198"/>
      <c r="M39" s="150"/>
    </row>
    <row r="40" spans="1:13" ht="18" thickBot="1" x14ac:dyDescent="0.3">
      <c r="A40" s="263" t="s">
        <v>155</v>
      </c>
      <c r="B40" s="264"/>
      <c r="C40" s="265"/>
      <c r="E40" s="166" t="s">
        <v>112</v>
      </c>
      <c r="F40" s="165"/>
      <c r="G40" s="177">
        <f>Calculation!AR67</f>
        <v>0</v>
      </c>
      <c r="H40" s="124">
        <f>Calculation!BD67</f>
        <v>0</v>
      </c>
      <c r="I40" s="125">
        <f>Calculation!BP67</f>
        <v>0</v>
      </c>
      <c r="J40" s="126">
        <f>Calculation!CB67</f>
        <v>0</v>
      </c>
      <c r="K40" s="127">
        <f>Calculation!CN67</f>
        <v>0</v>
      </c>
      <c r="L40" s="202">
        <f>+Calculation!CZ67</f>
        <v>0</v>
      </c>
      <c r="M40" s="128">
        <f>SUM(G40:L40)</f>
        <v>0</v>
      </c>
    </row>
    <row r="41" spans="1:13" x14ac:dyDescent="0.25">
      <c r="A41" s="263"/>
      <c r="B41" s="264"/>
      <c r="C41" s="265"/>
      <c r="E41" s="166" t="s">
        <v>143</v>
      </c>
      <c r="F41" s="165"/>
      <c r="G41" s="203">
        <f t="shared" ref="G41:L41" si="2">+G20+G21-G40</f>
        <v>0</v>
      </c>
      <c r="H41" s="204">
        <f t="shared" si="2"/>
        <v>0</v>
      </c>
      <c r="I41" s="205">
        <f>+I20+I21-I40</f>
        <v>0</v>
      </c>
      <c r="J41" s="206">
        <f t="shared" si="2"/>
        <v>0</v>
      </c>
      <c r="K41" s="207">
        <f t="shared" si="2"/>
        <v>0</v>
      </c>
      <c r="L41" s="208">
        <f t="shared" si="2"/>
        <v>0</v>
      </c>
      <c r="M41" s="150">
        <f>SUM(G41:L41)</f>
        <v>0</v>
      </c>
    </row>
    <row r="42" spans="1:13" x14ac:dyDescent="0.25">
      <c r="A42" s="263"/>
      <c r="B42" s="264"/>
      <c r="C42" s="265"/>
      <c r="E42" s="257" t="s">
        <v>160</v>
      </c>
      <c r="F42" s="258"/>
      <c r="G42" s="258"/>
      <c r="H42" s="258"/>
      <c r="I42" s="258"/>
      <c r="J42" s="258"/>
      <c r="K42" s="258"/>
      <c r="L42" s="258"/>
      <c r="M42" s="259"/>
    </row>
    <row r="43" spans="1:13" ht="27.75" customHeight="1" x14ac:dyDescent="0.25">
      <c r="A43" s="263"/>
      <c r="B43" s="264"/>
      <c r="C43" s="265"/>
      <c r="E43" s="257"/>
      <c r="F43" s="258"/>
      <c r="G43" s="258"/>
      <c r="H43" s="258"/>
      <c r="I43" s="258"/>
      <c r="J43" s="258"/>
      <c r="K43" s="258"/>
      <c r="L43" s="258"/>
      <c r="M43" s="259"/>
    </row>
    <row r="44" spans="1:13" ht="36" customHeight="1" x14ac:dyDescent="0.25">
      <c r="A44" s="263"/>
      <c r="B44" s="264"/>
      <c r="C44" s="265"/>
      <c r="E44" s="257"/>
      <c r="F44" s="258"/>
      <c r="G44" s="258"/>
      <c r="H44" s="258"/>
      <c r="I44" s="258"/>
      <c r="J44" s="258"/>
      <c r="K44" s="258"/>
      <c r="L44" s="258"/>
      <c r="M44" s="259"/>
    </row>
    <row r="45" spans="1:13" x14ac:dyDescent="0.25">
      <c r="A45" s="227"/>
      <c r="B45" s="228"/>
      <c r="C45" s="229"/>
      <c r="E45" s="257"/>
      <c r="F45" s="258"/>
      <c r="G45" s="258"/>
      <c r="H45" s="258"/>
      <c r="I45" s="258"/>
      <c r="J45" s="258"/>
      <c r="K45" s="258"/>
      <c r="L45" s="258"/>
      <c r="M45" s="259"/>
    </row>
    <row r="46" spans="1:13" ht="66.75" customHeight="1" thickBot="1" x14ac:dyDescent="0.3">
      <c r="A46" s="239"/>
      <c r="B46" s="255"/>
      <c r="C46" s="256"/>
      <c r="E46" s="260"/>
      <c r="F46" s="261"/>
      <c r="G46" s="261"/>
      <c r="H46" s="261"/>
      <c r="I46" s="261"/>
      <c r="J46" s="261"/>
      <c r="K46" s="261"/>
      <c r="L46" s="261"/>
      <c r="M46" s="262"/>
    </row>
    <row r="47" spans="1:13" x14ac:dyDescent="0.25">
      <c r="A47" s="53"/>
      <c r="B47" s="24"/>
      <c r="C47" s="24"/>
      <c r="E47" s="24"/>
      <c r="F47" s="24"/>
      <c r="G47" s="24"/>
      <c r="H47" s="24"/>
      <c r="I47" s="24"/>
      <c r="J47" s="24"/>
      <c r="K47" s="24"/>
      <c r="L47" s="24"/>
      <c r="M47" s="24"/>
    </row>
    <row r="48" spans="1:13" x14ac:dyDescent="0.25">
      <c r="A48" s="53"/>
      <c r="B48" s="24"/>
      <c r="C48" s="24"/>
      <c r="E48" s="24"/>
      <c r="F48" s="24"/>
      <c r="G48" s="24"/>
      <c r="H48" s="24"/>
      <c r="I48" s="24"/>
      <c r="J48" s="24"/>
      <c r="K48" s="24"/>
      <c r="L48" s="24"/>
      <c r="M48" s="24"/>
    </row>
    <row r="49" spans="1:13" x14ac:dyDescent="0.25">
      <c r="A49" s="53"/>
      <c r="B49" s="24"/>
      <c r="C49" s="24"/>
      <c r="E49" s="24"/>
      <c r="F49" s="24"/>
      <c r="G49" s="24"/>
      <c r="H49" s="24"/>
      <c r="I49" s="24"/>
      <c r="J49" s="24"/>
      <c r="K49" s="24"/>
      <c r="L49" s="24"/>
      <c r="M49" s="24"/>
    </row>
    <row r="50" spans="1:13" x14ac:dyDescent="0.25">
      <c r="A50" s="53"/>
      <c r="B50" s="24"/>
      <c r="C50" s="24"/>
      <c r="E50" s="24"/>
      <c r="F50" s="24"/>
      <c r="G50" s="24"/>
      <c r="H50" s="24"/>
      <c r="I50" s="24"/>
      <c r="J50" s="24"/>
      <c r="K50" s="24"/>
      <c r="L50" s="24"/>
      <c r="M50" s="24"/>
    </row>
    <row r="51" spans="1:13" x14ac:dyDescent="0.25">
      <c r="A51" s="53"/>
      <c r="B51" s="24"/>
      <c r="C51" s="24"/>
      <c r="E51" s="24"/>
      <c r="F51" s="24"/>
      <c r="G51" s="24"/>
      <c r="H51" s="24"/>
      <c r="I51" s="24"/>
      <c r="J51" s="24"/>
      <c r="K51" s="24"/>
      <c r="L51" s="24"/>
      <c r="M51" s="24"/>
    </row>
    <row r="52" spans="1:13" x14ac:dyDescent="0.25">
      <c r="A52" s="53"/>
      <c r="B52" s="24"/>
      <c r="C52" s="24"/>
      <c r="E52" s="24"/>
      <c r="F52" s="24"/>
      <c r="G52" s="24"/>
      <c r="H52" s="24"/>
      <c r="I52" s="24"/>
      <c r="J52" s="24"/>
      <c r="K52" s="24"/>
      <c r="L52" s="24"/>
      <c r="M52" s="24"/>
    </row>
    <row r="53" spans="1:13" x14ac:dyDescent="0.25">
      <c r="A53" s="53"/>
      <c r="B53" s="24"/>
      <c r="C53" s="24"/>
      <c r="E53" s="24"/>
      <c r="F53" s="24"/>
      <c r="G53" s="24"/>
      <c r="H53" s="24"/>
      <c r="I53" s="24"/>
      <c r="J53" s="24"/>
      <c r="K53" s="24"/>
      <c r="L53" s="24"/>
      <c r="M53" s="24"/>
    </row>
    <row r="54" spans="1:13" x14ac:dyDescent="0.25">
      <c r="A54" s="53"/>
      <c r="B54" s="24"/>
      <c r="C54" s="24"/>
      <c r="E54" s="24"/>
      <c r="F54" s="24"/>
      <c r="G54" s="24"/>
      <c r="H54" s="24"/>
      <c r="I54" s="24"/>
      <c r="J54" s="24"/>
      <c r="K54" s="24"/>
      <c r="L54" s="24"/>
      <c r="M54" s="24"/>
    </row>
    <row r="55" spans="1:13" x14ac:dyDescent="0.25">
      <c r="A55" s="53"/>
      <c r="B55" s="24"/>
      <c r="C55" s="24"/>
      <c r="E55" s="24"/>
      <c r="F55" s="24"/>
      <c r="G55" s="24"/>
      <c r="H55" s="24"/>
      <c r="I55" s="24"/>
      <c r="J55" s="24"/>
      <c r="K55" s="24"/>
      <c r="L55" s="24"/>
      <c r="M55" s="24"/>
    </row>
    <row r="56" spans="1:13" x14ac:dyDescent="0.25">
      <c r="A56" s="53"/>
      <c r="B56" s="24"/>
      <c r="C56" s="24"/>
      <c r="E56" s="24"/>
      <c r="F56" s="24"/>
      <c r="G56" s="24"/>
      <c r="H56" s="24"/>
      <c r="I56" s="24"/>
      <c r="J56" s="24"/>
      <c r="K56" s="24"/>
      <c r="L56" s="24"/>
      <c r="M56" s="24"/>
    </row>
    <row r="57" spans="1:13" x14ac:dyDescent="0.25">
      <c r="A57" s="53"/>
      <c r="B57" s="24"/>
      <c r="C57" s="24"/>
      <c r="E57" s="24"/>
      <c r="F57" s="24"/>
      <c r="G57" s="24"/>
      <c r="H57" s="24"/>
      <c r="I57" s="24"/>
      <c r="J57" s="24"/>
      <c r="K57" s="24"/>
      <c r="L57" s="24"/>
      <c r="M57" s="24"/>
    </row>
    <row r="58" spans="1:13" ht="18.75" customHeight="1" x14ac:dyDescent="0.25">
      <c r="A58" s="53"/>
      <c r="B58" s="24"/>
      <c r="C58" s="24"/>
      <c r="E58" s="24"/>
      <c r="F58" s="24"/>
      <c r="G58" s="24"/>
      <c r="H58" s="24"/>
      <c r="I58" s="24"/>
      <c r="J58" s="24"/>
      <c r="K58" s="24"/>
      <c r="L58" s="24"/>
      <c r="M58" s="24"/>
    </row>
    <row r="59" spans="1:13" x14ac:dyDescent="0.25">
      <c r="A59" s="53"/>
      <c r="B59" s="24"/>
      <c r="C59" s="24"/>
      <c r="E59" s="24"/>
      <c r="F59" s="24"/>
      <c r="G59" s="24"/>
      <c r="H59" s="24"/>
      <c r="I59" s="24"/>
      <c r="J59" s="24"/>
      <c r="K59" s="24"/>
      <c r="L59" s="24"/>
      <c r="M59" s="24"/>
    </row>
    <row r="60" spans="1:13" x14ac:dyDescent="0.25">
      <c r="A60" s="53"/>
      <c r="B60" s="24"/>
      <c r="C60" s="24"/>
    </row>
    <row r="61" spans="1:13" x14ac:dyDescent="0.25">
      <c r="A61" s="37" t="s">
        <v>34</v>
      </c>
      <c r="B61" s="26"/>
      <c r="C61" s="26"/>
      <c r="D61" s="26"/>
    </row>
    <row r="62" spans="1:13" x14ac:dyDescent="0.25">
      <c r="A62" s="19" t="s">
        <v>152</v>
      </c>
    </row>
    <row r="64" spans="1:13" x14ac:dyDescent="0.25">
      <c r="A64" s="60" t="s">
        <v>35</v>
      </c>
      <c r="B64" s="26"/>
      <c r="C64" s="26"/>
      <c r="E64" s="26"/>
      <c r="F64" s="26"/>
    </row>
    <row r="65" spans="1:6" ht="45.75" customHeight="1" x14ac:dyDescent="0.25">
      <c r="A65" s="242" t="s">
        <v>142</v>
      </c>
      <c r="B65" s="242"/>
      <c r="C65" s="242"/>
    </row>
    <row r="66" spans="1:6" ht="33.75" customHeight="1" x14ac:dyDescent="0.25">
      <c r="A66" s="242" t="s">
        <v>153</v>
      </c>
      <c r="B66" s="242"/>
      <c r="C66" s="242"/>
      <c r="D66" s="26"/>
    </row>
    <row r="67" spans="1:6" ht="75.75" customHeight="1" x14ac:dyDescent="0.25">
      <c r="A67" s="242" t="s">
        <v>156</v>
      </c>
      <c r="B67" s="242"/>
      <c r="C67" s="242"/>
    </row>
    <row r="68" spans="1:6" ht="33" customHeight="1" x14ac:dyDescent="0.25">
      <c r="A68" s="19" t="s">
        <v>157</v>
      </c>
    </row>
    <row r="69" spans="1:6" ht="66.75" customHeight="1" x14ac:dyDescent="0.25">
      <c r="E69" s="26"/>
      <c r="F69" s="26"/>
    </row>
  </sheetData>
  <sheetProtection selectLockedCells="1"/>
  <mergeCells count="12">
    <mergeCell ref="E15:H15"/>
    <mergeCell ref="A67:C67"/>
    <mergeCell ref="E7:H7"/>
    <mergeCell ref="A7:C7"/>
    <mergeCell ref="A65:C65"/>
    <mergeCell ref="A66:C66"/>
    <mergeCell ref="E17:M17"/>
    <mergeCell ref="A17:C17"/>
    <mergeCell ref="A46:C46"/>
    <mergeCell ref="E42:M46"/>
    <mergeCell ref="A40:C44"/>
    <mergeCell ref="A35:C38"/>
  </mergeCells>
  <dataValidations count="8">
    <dataValidation type="custom" allowBlank="1" showInputMessage="1" showErrorMessage="1" error="The amount entered exceeds the remaining value available that can be distributed as salary." sqref="G20">
      <formula1>IF(F20&gt;=0,1,0)</formula1>
    </dataValidation>
    <dataValidation type="custom" allowBlank="1" showInputMessage="1" showErrorMessage="1" error="The amount entered exceeds the remaining value available that can be distributed as salary." sqref="H20">
      <formula1>IF(F20&gt;=0,1,0)</formula1>
    </dataValidation>
    <dataValidation type="custom" allowBlank="1" showInputMessage="1" showErrorMessage="1" error="The amount entered exceeds the remaining value available that can be distributed as salary." sqref="I20">
      <formula1>IF(F20&gt;=0,1,0)</formula1>
    </dataValidation>
    <dataValidation type="custom" allowBlank="1" showInputMessage="1" showErrorMessage="1" error="The amount entered exceeds the remaining value available that can be distributed as salary." sqref="J20">
      <formula1>IF(F20&gt;=0,1,0)</formula1>
    </dataValidation>
    <dataValidation type="custom" allowBlank="1" showInputMessage="1" showErrorMessage="1" error="The amount entered exceeds the remaining value available that can be distributed as salary." sqref="K20:L20">
      <formula1>IF(F20&gt;=0,1,0)</formula1>
    </dataValidation>
    <dataValidation type="whole" allowBlank="1" showInputMessage="1" showErrorMessage="1" sqref="B19">
      <formula1>0</formula1>
      <formula2>#REF!-B20</formula2>
    </dataValidation>
    <dataValidation type="custom" allowBlank="1" showInputMessage="1" showErrorMessage="1" error="The amount entered exceeds the remaining value available that can be distributed as dividends." sqref="G21:L23">
      <formula1>IF($F21&gt;=0,1,0)</formula1>
    </dataValidation>
    <dataValidation type="whole" allowBlank="1" showInputMessage="1" showErrorMessage="1" sqref="B21">
      <formula1>0</formula1>
      <formula2>#REF!-#REF!</formula2>
    </dataValidation>
  </dataValidations>
  <pageMargins left="0.7" right="0.7" top="0.75" bottom="0.75" header="0.3" footer="0.3"/>
  <pageSetup scale="61" orientation="landscape" r:id="rId1"/>
  <rowBreaks count="1" manualBreakCount="1">
    <brk id="42" max="11" man="1"/>
  </rowBreaks>
  <ignoredErrors>
    <ignoredError sqref="G22:L23 M23" unlockedFormula="1"/>
    <ignoredError sqref="M22" formula="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95"/>
  <sheetViews>
    <sheetView zoomScale="85" zoomScaleNormal="85" workbookViewId="0">
      <pane xSplit="5" ySplit="4" topLeftCell="BE38" activePane="bottomRight" state="frozen"/>
      <selection activeCell="Y74" sqref="Y74"/>
      <selection pane="topRight" activeCell="Y74" sqref="Y74"/>
      <selection pane="bottomLeft" activeCell="Y74" sqref="Y74"/>
      <selection pane="bottomRight" activeCell="BP67" sqref="BP67"/>
    </sheetView>
  </sheetViews>
  <sheetFormatPr defaultColWidth="9.140625" defaultRowHeight="15" x14ac:dyDescent="0.25"/>
  <cols>
    <col min="1" max="1" width="35.28515625" style="19" customWidth="1"/>
    <col min="2" max="4" width="19.5703125" style="19" hidden="1" customWidth="1"/>
    <col min="5" max="5" width="13.7109375" style="19" hidden="1" customWidth="1"/>
    <col min="6" max="6" width="21.85546875" style="19" customWidth="1"/>
    <col min="7" max="7" width="11.140625" style="19" customWidth="1"/>
    <col min="8" max="8" width="10.7109375" style="19" customWidth="1"/>
    <col min="9" max="9" width="10.28515625" style="19" customWidth="1"/>
    <col min="10" max="10" width="14" style="19" bestFit="1" customWidth="1"/>
    <col min="11" max="11" width="9.140625" style="19"/>
    <col min="12" max="12" width="9.7109375" style="19" customWidth="1"/>
    <col min="13" max="13" width="13.140625" style="19" customWidth="1"/>
    <col min="14" max="14" width="9" style="19" bestFit="1" customWidth="1"/>
    <col min="15" max="15" width="16.28515625" style="19" bestFit="1" customWidth="1"/>
    <col min="16" max="16" width="9.140625" style="19"/>
    <col min="17" max="17" width="9.7109375" style="19" bestFit="1" customWidth="1"/>
    <col min="18" max="19" width="9" style="19" bestFit="1" customWidth="1"/>
    <col min="20" max="20" width="16.140625" style="19" customWidth="1"/>
    <col min="21" max="21" width="9.140625" style="19"/>
    <col min="22" max="22" width="9.28515625" style="19" bestFit="1" customWidth="1"/>
    <col min="23" max="23" width="12" style="19" customWidth="1"/>
    <col min="24" max="24" width="9.140625" style="19"/>
    <col min="25" max="25" width="15.5703125" style="19" customWidth="1"/>
    <col min="26" max="26" width="4.7109375" style="19" customWidth="1"/>
    <col min="27" max="27" width="9.28515625" style="19" bestFit="1" customWidth="1"/>
    <col min="28" max="28" width="12" style="19" customWidth="1"/>
    <col min="29" max="29" width="9.140625" style="19"/>
    <col min="30" max="30" width="15.5703125" style="19" customWidth="1"/>
    <col min="31" max="31" width="6.42578125" style="19" customWidth="1"/>
    <col min="32" max="32" width="15.5703125" style="19" customWidth="1"/>
    <col min="33" max="36" width="9.140625" style="19"/>
    <col min="37" max="37" width="14.28515625" style="19" customWidth="1"/>
    <col min="38" max="38" width="14.28515625" style="26" customWidth="1"/>
    <col min="39" max="42" width="14.28515625" style="19" customWidth="1"/>
    <col min="43" max="43" width="14.28515625" style="26" customWidth="1"/>
    <col min="44" max="44" width="14.28515625" style="19" customWidth="1"/>
    <col min="45" max="45" width="14.28515625" style="26" customWidth="1"/>
    <col min="46" max="48" width="9.140625" style="19"/>
    <col min="49" max="49" width="11.5703125" style="19" bestFit="1" customWidth="1"/>
    <col min="50" max="55" width="11.5703125" style="19" customWidth="1"/>
    <col min="56" max="56" width="14.28515625" style="19" customWidth="1"/>
    <col min="57" max="57" width="11.5703125" style="19" customWidth="1"/>
    <col min="58" max="60" width="9.140625" style="19"/>
    <col min="61" max="61" width="11.5703125" style="19" bestFit="1" customWidth="1"/>
    <col min="62" max="67" width="11.5703125" style="19" customWidth="1"/>
    <col min="68" max="68" width="14.28515625" style="19" customWidth="1"/>
    <col min="69" max="72" width="9.140625" style="19"/>
    <col min="73" max="73" width="11.5703125" style="19" bestFit="1" customWidth="1"/>
    <col min="74" max="74" width="11.5703125" style="19" customWidth="1"/>
    <col min="75" max="77" width="9.140625" style="19"/>
    <col min="78" max="78" width="11.5703125" style="19" bestFit="1" customWidth="1"/>
    <col min="79" max="79" width="11.5703125" style="19" customWidth="1"/>
    <col min="80" max="80" width="14.28515625" style="19" customWidth="1"/>
    <col min="81" max="81" width="11.5703125" style="19" customWidth="1"/>
    <col min="82" max="84" width="9.140625" style="19"/>
    <col min="85" max="85" width="11.5703125" style="19" bestFit="1" customWidth="1"/>
    <col min="86" max="86" width="11.5703125" style="19" customWidth="1"/>
    <col min="87" max="89" width="9.140625" style="19"/>
    <col min="90" max="90" width="11.5703125" style="19" bestFit="1" customWidth="1"/>
    <col min="91" max="91" width="11.5703125" style="19" customWidth="1"/>
    <col min="92" max="92" width="14.28515625" style="19" customWidth="1"/>
    <col min="93" max="93" width="11.5703125" style="19" customWidth="1"/>
    <col min="94" max="96" width="9.140625" style="19"/>
    <col min="97" max="97" width="11.5703125" style="19" bestFit="1" customWidth="1"/>
    <col min="98" max="98" width="11.5703125" style="19" customWidth="1"/>
    <col min="99" max="101" width="9.140625" style="19"/>
    <col min="102" max="102" width="11.5703125" style="19" bestFit="1" customWidth="1"/>
    <col min="103" max="103" width="11.5703125" style="19" customWidth="1"/>
    <col min="104" max="104" width="14.28515625" style="19" customWidth="1"/>
    <col min="105" max="105" width="11.5703125" style="19" customWidth="1"/>
    <col min="106" max="106" width="13.28515625" style="19" bestFit="1" customWidth="1"/>
    <col min="107" max="16384" width="9.140625" style="19"/>
  </cols>
  <sheetData>
    <row r="1" spans="1:106" x14ac:dyDescent="0.25">
      <c r="A1" s="83" t="s">
        <v>15</v>
      </c>
      <c r="B1" s="74"/>
      <c r="C1" s="74"/>
      <c r="D1" s="74"/>
      <c r="E1" s="74"/>
      <c r="F1" s="84">
        <f>Input!C3</f>
        <v>500000</v>
      </c>
    </row>
    <row r="2" spans="1:106" ht="18.75" x14ac:dyDescent="0.3">
      <c r="A2" s="75" t="s">
        <v>37</v>
      </c>
      <c r="B2" s="76"/>
      <c r="C2" s="77"/>
      <c r="D2" s="78"/>
      <c r="E2" s="78"/>
      <c r="F2" s="85">
        <f>Input!C4</f>
        <v>500000</v>
      </c>
    </row>
    <row r="3" spans="1:106" ht="61.5" thickBot="1" x14ac:dyDescent="0.35">
      <c r="A3" s="79" t="s">
        <v>38</v>
      </c>
      <c r="B3" s="80"/>
      <c r="C3" s="81"/>
      <c r="D3" s="82"/>
      <c r="E3" s="82"/>
      <c r="F3" s="86">
        <f>Input!C5</f>
        <v>100000</v>
      </c>
      <c r="G3" s="266" t="s">
        <v>20</v>
      </c>
      <c r="H3" s="266"/>
      <c r="I3" s="266"/>
      <c r="J3" s="266"/>
      <c r="L3" s="266" t="s">
        <v>41</v>
      </c>
      <c r="M3" s="266"/>
      <c r="N3" s="266"/>
      <c r="O3" s="266"/>
      <c r="Q3" s="266" t="s">
        <v>0</v>
      </c>
      <c r="R3" s="266"/>
      <c r="S3" s="266"/>
      <c r="T3" s="266"/>
      <c r="V3" s="266" t="s">
        <v>60</v>
      </c>
      <c r="W3" s="266"/>
      <c r="X3" s="266"/>
      <c r="Y3" s="266"/>
      <c r="Z3" s="173"/>
      <c r="AA3" s="266" t="s">
        <v>60</v>
      </c>
      <c r="AB3" s="266"/>
      <c r="AC3" s="266"/>
      <c r="AD3" s="266"/>
      <c r="AE3" s="173"/>
      <c r="AF3" s="104" t="s">
        <v>130</v>
      </c>
      <c r="AH3" s="266" t="s">
        <v>65</v>
      </c>
      <c r="AI3" s="266"/>
      <c r="AJ3" s="266"/>
      <c r="AK3" s="266"/>
      <c r="AL3" s="109"/>
      <c r="AM3" s="266" t="s">
        <v>89</v>
      </c>
      <c r="AN3" s="266"/>
      <c r="AO3" s="266"/>
      <c r="AP3" s="266"/>
      <c r="AQ3" s="109"/>
      <c r="AR3" s="104" t="s">
        <v>88</v>
      </c>
      <c r="AS3" s="109"/>
      <c r="AT3" s="266" t="s">
        <v>86</v>
      </c>
      <c r="AU3" s="266"/>
      <c r="AV3" s="266"/>
      <c r="AW3" s="266"/>
      <c r="AX3" s="61"/>
      <c r="AY3" s="266" t="s">
        <v>91</v>
      </c>
      <c r="AZ3" s="266"/>
      <c r="BA3" s="266"/>
      <c r="BB3" s="266"/>
      <c r="BC3" s="61"/>
      <c r="BD3" s="104" t="s">
        <v>90</v>
      </c>
      <c r="BE3" s="61"/>
      <c r="BF3" s="266" t="s">
        <v>66</v>
      </c>
      <c r="BG3" s="266"/>
      <c r="BH3" s="266"/>
      <c r="BI3" s="266"/>
      <c r="BJ3" s="61"/>
      <c r="BK3" s="266" t="s">
        <v>92</v>
      </c>
      <c r="BL3" s="266"/>
      <c r="BM3" s="266"/>
      <c r="BN3" s="266"/>
      <c r="BO3" s="61"/>
      <c r="BP3" s="104" t="s">
        <v>93</v>
      </c>
      <c r="BR3" s="266" t="s">
        <v>67</v>
      </c>
      <c r="BS3" s="266"/>
      <c r="BT3" s="266"/>
      <c r="BU3" s="266"/>
      <c r="BV3" s="61"/>
      <c r="BW3" s="266" t="s">
        <v>94</v>
      </c>
      <c r="BX3" s="266"/>
      <c r="BY3" s="266"/>
      <c r="BZ3" s="266"/>
      <c r="CA3" s="61"/>
      <c r="CB3" s="104" t="s">
        <v>95</v>
      </c>
      <c r="CC3" s="61"/>
      <c r="CD3" s="266" t="s">
        <v>68</v>
      </c>
      <c r="CE3" s="266"/>
      <c r="CF3" s="266"/>
      <c r="CG3" s="266"/>
      <c r="CH3" s="61"/>
      <c r="CI3" s="266" t="s">
        <v>96</v>
      </c>
      <c r="CJ3" s="266"/>
      <c r="CK3" s="266"/>
      <c r="CL3" s="266"/>
      <c r="CM3" s="61"/>
      <c r="CN3" s="104" t="s">
        <v>97</v>
      </c>
      <c r="CO3" s="196"/>
      <c r="CP3" s="266" t="s">
        <v>136</v>
      </c>
      <c r="CQ3" s="266"/>
      <c r="CR3" s="266"/>
      <c r="CS3" s="266"/>
      <c r="CT3" s="196"/>
      <c r="CU3" s="266" t="s">
        <v>137</v>
      </c>
      <c r="CV3" s="266"/>
      <c r="CW3" s="266"/>
      <c r="CX3" s="266"/>
      <c r="CY3" s="196"/>
      <c r="CZ3" s="104" t="s">
        <v>138</v>
      </c>
      <c r="DA3" s="61"/>
    </row>
    <row r="4" spans="1:106" x14ac:dyDescent="0.25">
      <c r="B4" s="267">
        <v>2013</v>
      </c>
      <c r="C4" s="267"/>
      <c r="D4" s="267"/>
      <c r="E4" s="267"/>
      <c r="F4" s="21"/>
      <c r="G4" s="267">
        <v>2021</v>
      </c>
      <c r="H4" s="267"/>
      <c r="I4" s="267"/>
      <c r="J4" s="267"/>
      <c r="L4" s="267">
        <f t="shared" ref="L4:Q4" si="0">$G$4</f>
        <v>2021</v>
      </c>
      <c r="M4" s="267"/>
      <c r="N4" s="267"/>
      <c r="O4" s="267"/>
      <c r="Q4" s="267">
        <f t="shared" si="0"/>
        <v>2021</v>
      </c>
      <c r="R4" s="267"/>
      <c r="S4" s="267"/>
      <c r="T4" s="267"/>
      <c r="V4" s="267">
        <f t="shared" ref="V4" si="1">$G$4</f>
        <v>2021</v>
      </c>
      <c r="W4" s="267"/>
      <c r="X4" s="267"/>
      <c r="Y4" s="267"/>
      <c r="Z4" s="105"/>
      <c r="AA4" s="267">
        <f t="shared" ref="AA4" si="2">$G$4</f>
        <v>2021</v>
      </c>
      <c r="AB4" s="267"/>
      <c r="AC4" s="267"/>
      <c r="AD4" s="267"/>
      <c r="AE4" s="105"/>
      <c r="AF4" s="105"/>
      <c r="AH4" s="267">
        <f t="shared" ref="AH4" si="3">$G$4</f>
        <v>2021</v>
      </c>
      <c r="AI4" s="267"/>
      <c r="AJ4" s="267"/>
      <c r="AK4" s="267"/>
      <c r="AL4" s="110"/>
      <c r="AM4" s="267">
        <f t="shared" ref="AM4" si="4">$G$4</f>
        <v>2021</v>
      </c>
      <c r="AN4" s="267"/>
      <c r="AO4" s="267"/>
      <c r="AP4" s="267"/>
      <c r="AQ4" s="110"/>
      <c r="AR4" s="105"/>
      <c r="AS4" s="110"/>
      <c r="AT4" s="267">
        <f t="shared" ref="AT4" si="5">$G$4</f>
        <v>2021</v>
      </c>
      <c r="AU4" s="267"/>
      <c r="AV4" s="267"/>
      <c r="AW4" s="267"/>
      <c r="AX4" s="105"/>
      <c r="AY4" s="267">
        <f t="shared" ref="AY4" si="6">$G$4</f>
        <v>2021</v>
      </c>
      <c r="AZ4" s="267"/>
      <c r="BA4" s="267"/>
      <c r="BB4" s="267"/>
      <c r="BC4" s="105"/>
      <c r="BD4" s="105"/>
      <c r="BE4" s="105"/>
      <c r="BF4" s="267">
        <f t="shared" ref="BF4" si="7">$G$4</f>
        <v>2021</v>
      </c>
      <c r="BG4" s="267"/>
      <c r="BH4" s="267"/>
      <c r="BI4" s="267"/>
      <c r="BJ4" s="105"/>
      <c r="BK4" s="267">
        <f t="shared" ref="BK4" si="8">$G$4</f>
        <v>2021</v>
      </c>
      <c r="BL4" s="267"/>
      <c r="BM4" s="267"/>
      <c r="BN4" s="267"/>
      <c r="BO4" s="105"/>
      <c r="BP4" s="105"/>
      <c r="BR4" s="267">
        <f t="shared" ref="BR4" si="9">$G$4</f>
        <v>2021</v>
      </c>
      <c r="BS4" s="267"/>
      <c r="BT4" s="267"/>
      <c r="BU4" s="267"/>
      <c r="BV4" s="105"/>
      <c r="BW4" s="267">
        <f t="shared" ref="BW4" si="10">$G$4</f>
        <v>2021</v>
      </c>
      <c r="BX4" s="267"/>
      <c r="BY4" s="267"/>
      <c r="BZ4" s="267"/>
      <c r="CA4" s="105"/>
      <c r="CB4" s="105"/>
      <c r="CC4" s="105"/>
      <c r="CD4" s="267">
        <f t="shared" ref="CD4" si="11">$G$4</f>
        <v>2021</v>
      </c>
      <c r="CE4" s="267"/>
      <c r="CF4" s="267"/>
      <c r="CG4" s="267"/>
      <c r="CH4" s="105"/>
      <c r="CI4" s="267">
        <f t="shared" ref="CI4" si="12">$G$4</f>
        <v>2021</v>
      </c>
      <c r="CJ4" s="267"/>
      <c r="CK4" s="267"/>
      <c r="CL4" s="267"/>
      <c r="CM4" s="105"/>
      <c r="CN4" s="105"/>
      <c r="CO4" s="105"/>
      <c r="CP4" s="267">
        <f t="shared" ref="CP4" si="13">$G$4</f>
        <v>2021</v>
      </c>
      <c r="CQ4" s="267"/>
      <c r="CR4" s="267"/>
      <c r="CS4" s="267"/>
      <c r="CT4" s="105"/>
      <c r="CU4" s="267">
        <f t="shared" ref="CU4" si="14">$G$4</f>
        <v>2021</v>
      </c>
      <c r="CV4" s="267"/>
      <c r="CW4" s="267"/>
      <c r="CX4" s="267"/>
      <c r="CY4" s="105"/>
      <c r="CZ4" s="105"/>
      <c r="DA4" s="105"/>
      <c r="DB4" s="19" t="s">
        <v>59</v>
      </c>
    </row>
    <row r="6" spans="1:106" x14ac:dyDescent="0.25">
      <c r="A6" s="21" t="s">
        <v>28</v>
      </c>
    </row>
    <row r="8" spans="1:106" s="1" customFormat="1" x14ac:dyDescent="0.25">
      <c r="A8" s="1" t="s">
        <v>87</v>
      </c>
      <c r="Y8" s="1">
        <f>Input!G24</f>
        <v>0</v>
      </c>
      <c r="AD8" s="1">
        <f>Input!G24</f>
        <v>0</v>
      </c>
      <c r="AK8" s="1">
        <f>Input!G24</f>
        <v>0</v>
      </c>
      <c r="AL8" s="94"/>
      <c r="AP8" s="1">
        <f>Input!G24</f>
        <v>0</v>
      </c>
      <c r="AQ8" s="94"/>
      <c r="AS8" s="94"/>
      <c r="AW8" s="1">
        <f>Input!H24</f>
        <v>0</v>
      </c>
      <c r="BB8" s="1">
        <f>Input!H24</f>
        <v>0</v>
      </c>
      <c r="BI8" s="1">
        <f>Input!I24</f>
        <v>0</v>
      </c>
      <c r="BN8" s="1">
        <f>Input!I24</f>
        <v>0</v>
      </c>
      <c r="BU8" s="1">
        <f>Input!J24</f>
        <v>0</v>
      </c>
      <c r="BZ8" s="1">
        <f>Input!J24</f>
        <v>0</v>
      </c>
      <c r="CG8" s="1">
        <f>Input!$K$24</f>
        <v>0</v>
      </c>
      <c r="CL8" s="1">
        <f>Input!$K$24</f>
        <v>0</v>
      </c>
      <c r="CS8" s="1">
        <f>Input!$L$24</f>
        <v>0</v>
      </c>
      <c r="CX8" s="1">
        <f>Input!$L$24</f>
        <v>0</v>
      </c>
    </row>
    <row r="10" spans="1:106" x14ac:dyDescent="0.25">
      <c r="A10" s="19" t="s">
        <v>0</v>
      </c>
      <c r="C10" s="3"/>
      <c r="D10" s="3"/>
      <c r="E10" s="3">
        <v>0</v>
      </c>
      <c r="H10" s="3"/>
      <c r="I10" s="3"/>
      <c r="J10" s="3">
        <v>0</v>
      </c>
      <c r="M10" s="3"/>
      <c r="N10" s="3"/>
      <c r="O10" s="3">
        <v>0</v>
      </c>
      <c r="R10" s="3"/>
      <c r="S10" s="3"/>
      <c r="T10" s="3">
        <f>F1</f>
        <v>500000</v>
      </c>
      <c r="W10" s="3"/>
      <c r="X10" s="3"/>
      <c r="Y10" s="3">
        <f>Input!M20</f>
        <v>0</v>
      </c>
      <c r="Z10" s="3"/>
      <c r="AB10" s="3"/>
      <c r="AC10" s="3"/>
      <c r="AD10" s="3">
        <f>Input!R20</f>
        <v>0</v>
      </c>
      <c r="AE10" s="3"/>
      <c r="AF10" s="3"/>
      <c r="AI10" s="3"/>
      <c r="AJ10" s="3"/>
      <c r="AK10" s="3">
        <f>Input!G20</f>
        <v>0</v>
      </c>
      <c r="AL10" s="111"/>
      <c r="AN10" s="3"/>
      <c r="AO10" s="3"/>
      <c r="AP10" s="3"/>
      <c r="AQ10" s="111"/>
      <c r="AR10" s="3"/>
      <c r="AS10" s="111"/>
      <c r="AU10" s="3"/>
      <c r="AV10" s="3"/>
      <c r="AW10" s="3">
        <f>Input!H20</f>
        <v>0</v>
      </c>
      <c r="AX10" s="3"/>
      <c r="AZ10" s="3"/>
      <c r="BA10" s="3"/>
      <c r="BB10" s="3"/>
      <c r="BC10" s="3"/>
      <c r="BD10" s="3"/>
      <c r="BE10" s="3"/>
      <c r="BG10" s="3"/>
      <c r="BH10" s="3"/>
      <c r="BI10" s="3">
        <f>Input!I20</f>
        <v>0</v>
      </c>
      <c r="BJ10" s="3"/>
      <c r="BL10" s="3"/>
      <c r="BM10" s="3"/>
      <c r="BN10" s="3"/>
      <c r="BO10" s="3"/>
      <c r="BP10" s="3"/>
      <c r="BS10" s="3"/>
      <c r="BT10" s="3"/>
      <c r="BU10" s="3">
        <f>Input!J20</f>
        <v>0</v>
      </c>
      <c r="BV10" s="3"/>
      <c r="BX10" s="3"/>
      <c r="BY10" s="3"/>
      <c r="BZ10" s="3"/>
      <c r="CA10" s="3"/>
      <c r="CB10" s="3"/>
      <c r="CC10" s="3"/>
      <c r="CE10" s="3"/>
      <c r="CF10" s="3"/>
      <c r="CG10" s="3">
        <f>Input!$K$20</f>
        <v>0</v>
      </c>
      <c r="CH10" s="3"/>
      <c r="CJ10" s="3"/>
      <c r="CK10" s="3"/>
      <c r="CL10" s="3"/>
      <c r="CM10" s="3"/>
      <c r="CN10" s="3"/>
      <c r="CO10" s="3"/>
      <c r="CQ10" s="3"/>
      <c r="CR10" s="3"/>
      <c r="CS10" s="3">
        <f>Input!$L$20</f>
        <v>0</v>
      </c>
      <c r="CT10" s="3"/>
      <c r="CV10" s="3"/>
      <c r="CW10" s="3"/>
      <c r="CX10" s="3"/>
      <c r="CY10" s="3"/>
      <c r="CZ10" s="3"/>
      <c r="DA10" s="3"/>
    </row>
    <row r="11" spans="1:106" x14ac:dyDescent="0.25">
      <c r="C11" s="3"/>
      <c r="D11" s="3"/>
      <c r="E11" s="3"/>
      <c r="H11" s="3"/>
      <c r="I11" s="3"/>
      <c r="J11" s="3"/>
      <c r="M11" s="3"/>
      <c r="N11" s="3"/>
      <c r="O11" s="3"/>
      <c r="R11" s="3"/>
      <c r="S11" s="3"/>
      <c r="T11" s="3"/>
      <c r="W11" s="3"/>
      <c r="X11" s="3"/>
      <c r="Y11" s="3"/>
      <c r="Z11" s="3"/>
      <c r="AB11" s="3"/>
      <c r="AC11" s="3"/>
      <c r="AD11" s="3"/>
      <c r="AE11" s="3"/>
      <c r="AF11" s="3"/>
      <c r="AI11" s="3"/>
      <c r="AJ11" s="3"/>
      <c r="AK11" s="3"/>
      <c r="AL11" s="111"/>
      <c r="AN11" s="3"/>
      <c r="AO11" s="3"/>
      <c r="AP11" s="3"/>
      <c r="AQ11" s="111"/>
      <c r="AR11" s="3"/>
      <c r="AS11" s="111"/>
      <c r="AU11" s="3"/>
      <c r="AV11" s="3"/>
      <c r="AW11" s="3"/>
      <c r="AX11" s="3"/>
      <c r="AZ11" s="3"/>
      <c r="BA11" s="3"/>
      <c r="BB11" s="3"/>
      <c r="BC11" s="3"/>
      <c r="BD11" s="3"/>
      <c r="BE11" s="3"/>
      <c r="BG11" s="3"/>
      <c r="BH11" s="3"/>
      <c r="BI11" s="3"/>
      <c r="BJ11" s="3"/>
      <c r="BL11" s="3"/>
      <c r="BM11" s="3"/>
      <c r="BN11" s="3"/>
      <c r="BO11" s="3"/>
      <c r="BP11" s="3"/>
      <c r="BS11" s="3"/>
      <c r="BT11" s="3"/>
      <c r="BU11" s="3"/>
      <c r="BV11" s="3"/>
      <c r="BX11" s="3"/>
      <c r="BY11" s="3"/>
      <c r="BZ11" s="3"/>
      <c r="CA11" s="3"/>
      <c r="CB11" s="3"/>
      <c r="CC11" s="3"/>
      <c r="CE11" s="3"/>
      <c r="CF11" s="3"/>
      <c r="CG11" s="3"/>
      <c r="CH11" s="3"/>
      <c r="CJ11" s="3"/>
      <c r="CK11" s="3"/>
      <c r="CL11" s="3"/>
      <c r="CM11" s="3"/>
      <c r="CN11" s="3"/>
      <c r="CO11" s="3"/>
      <c r="CQ11" s="3"/>
      <c r="CR11" s="3"/>
      <c r="CS11" s="3"/>
      <c r="CT11" s="3"/>
      <c r="CV11" s="3"/>
      <c r="CW11" s="3"/>
      <c r="CX11" s="3"/>
      <c r="CY11" s="3"/>
      <c r="CZ11" s="3"/>
      <c r="DA11" s="3"/>
    </row>
    <row r="12" spans="1:106" x14ac:dyDescent="0.25">
      <c r="A12" s="19" t="s">
        <v>13</v>
      </c>
      <c r="C12" s="3"/>
      <c r="D12" s="3"/>
      <c r="E12" s="3">
        <v>73500</v>
      </c>
      <c r="H12" s="3"/>
      <c r="I12" s="3"/>
      <c r="J12" s="3">
        <f>F1*(1-0.265)</f>
        <v>367500</v>
      </c>
      <c r="M12" s="3"/>
      <c r="N12" s="3"/>
      <c r="O12" s="3">
        <f>IF(MIN(O91,((F1-F2)*0.735+F2*0.878))&gt;0,MIN(O91,((F1-F2)*0.735+F2*0.878)),0)</f>
        <v>100000</v>
      </c>
      <c r="R12" s="3"/>
      <c r="S12" s="3"/>
      <c r="T12" s="3">
        <v>0</v>
      </c>
      <c r="W12" s="3"/>
      <c r="X12" s="3"/>
      <c r="Y12" s="3">
        <f>'Calc corp tax comb'!I35</f>
        <v>0</v>
      </c>
      <c r="Z12" s="3"/>
      <c r="AB12" s="3"/>
      <c r="AC12" s="3"/>
      <c r="AD12" s="3">
        <f>'Calc corp tax comb'!N35</f>
        <v>0</v>
      </c>
      <c r="AE12" s="3"/>
      <c r="AF12" s="3"/>
      <c r="AI12" s="3"/>
      <c r="AJ12" s="3"/>
      <c r="AK12" s="3">
        <f>'Calc corp tax comb'!C35</f>
        <v>0</v>
      </c>
      <c r="AL12" s="111"/>
      <c r="AN12" s="3"/>
      <c r="AO12" s="3"/>
      <c r="AP12" s="3"/>
      <c r="AQ12" s="111"/>
      <c r="AR12" s="3"/>
      <c r="AS12" s="111"/>
      <c r="AU12" s="3"/>
      <c r="AV12" s="3"/>
      <c r="AW12" s="3">
        <f>'Calc corp tax comb'!D35</f>
        <v>0</v>
      </c>
      <c r="AX12" s="3"/>
      <c r="AZ12" s="3"/>
      <c r="BA12" s="3"/>
      <c r="BB12" s="3"/>
      <c r="BC12" s="3"/>
      <c r="BD12" s="3"/>
      <c r="BE12" s="3"/>
      <c r="BG12" s="3"/>
      <c r="BH12" s="3"/>
      <c r="BI12" s="3">
        <f>'Calc corp tax comb'!E35</f>
        <v>0</v>
      </c>
      <c r="BJ12" s="3"/>
      <c r="BL12" s="3"/>
      <c r="BM12" s="3"/>
      <c r="BN12" s="3"/>
      <c r="BO12" s="3"/>
      <c r="BP12" s="3"/>
      <c r="BS12" s="3"/>
      <c r="BT12" s="3"/>
      <c r="BU12" s="3">
        <f>'Calc corp tax comb'!F35</f>
        <v>0</v>
      </c>
      <c r="BV12" s="3"/>
      <c r="BX12" s="3"/>
      <c r="BY12" s="3"/>
      <c r="BZ12" s="3"/>
      <c r="CA12" s="3"/>
      <c r="CB12" s="3"/>
      <c r="CC12" s="3"/>
      <c r="CE12" s="3"/>
      <c r="CF12" s="3"/>
      <c r="CG12" s="3">
        <f>'Calc corp tax comb'!$G$35</f>
        <v>0</v>
      </c>
      <c r="CH12" s="3"/>
      <c r="CJ12" s="3"/>
      <c r="CK12" s="3"/>
      <c r="CL12" s="3"/>
      <c r="CM12" s="3"/>
      <c r="CN12" s="3"/>
      <c r="CO12" s="3"/>
      <c r="CQ12" s="3"/>
      <c r="CR12" s="3"/>
      <c r="CS12" s="3">
        <f>'Calc corp tax comb'!$H$35</f>
        <v>0</v>
      </c>
      <c r="CT12" s="3"/>
      <c r="CV12" s="3"/>
      <c r="CW12" s="3"/>
      <c r="CX12" s="3"/>
      <c r="CY12" s="3"/>
      <c r="CZ12" s="3"/>
      <c r="DA12" s="3"/>
    </row>
    <row r="13" spans="1:106" x14ac:dyDescent="0.25">
      <c r="A13" s="19" t="s">
        <v>24</v>
      </c>
      <c r="C13" s="3"/>
      <c r="D13" s="3"/>
      <c r="E13" s="3">
        <f>E12*38%</f>
        <v>27930</v>
      </c>
      <c r="G13" s="22">
        <v>0.38</v>
      </c>
      <c r="H13" s="3"/>
      <c r="I13" s="3"/>
      <c r="J13" s="3">
        <f>J12*G13</f>
        <v>139650</v>
      </c>
      <c r="L13" s="22">
        <v>0.38</v>
      </c>
      <c r="M13" s="3"/>
      <c r="N13" s="3"/>
      <c r="O13" s="3">
        <f>O12*L13</f>
        <v>38000</v>
      </c>
      <c r="Q13" s="22">
        <v>0.38</v>
      </c>
      <c r="R13" s="3"/>
      <c r="S13" s="3"/>
      <c r="T13" s="3">
        <f>T12*Q13</f>
        <v>0</v>
      </c>
      <c r="V13" s="22">
        <v>0.38</v>
      </c>
      <c r="W13" s="3"/>
      <c r="X13" s="3"/>
      <c r="Y13" s="3">
        <f>Y12*V13</f>
        <v>0</v>
      </c>
      <c r="Z13" s="3"/>
      <c r="AA13" s="22">
        <v>0.38</v>
      </c>
      <c r="AB13" s="3"/>
      <c r="AC13" s="3"/>
      <c r="AD13" s="3">
        <f>AD12*AA13</f>
        <v>0</v>
      </c>
      <c r="AE13" s="3"/>
      <c r="AF13" s="3"/>
      <c r="AH13" s="22">
        <v>0.38</v>
      </c>
      <c r="AI13" s="3"/>
      <c r="AJ13" s="3"/>
      <c r="AK13" s="3">
        <f>AK12*AH13</f>
        <v>0</v>
      </c>
      <c r="AL13" s="111"/>
      <c r="AM13" s="22">
        <v>0.38</v>
      </c>
      <c r="AN13" s="3"/>
      <c r="AO13" s="3"/>
      <c r="AP13" s="3"/>
      <c r="AQ13" s="111"/>
      <c r="AR13" s="3"/>
      <c r="AS13" s="111"/>
      <c r="AT13" s="22">
        <v>0.38</v>
      </c>
      <c r="AU13" s="3"/>
      <c r="AV13" s="3"/>
      <c r="AW13" s="3">
        <f>AW12*AT13</f>
        <v>0</v>
      </c>
      <c r="AX13" s="3"/>
      <c r="AY13" s="22"/>
      <c r="AZ13" s="3"/>
      <c r="BA13" s="3"/>
      <c r="BB13" s="3"/>
      <c r="BC13" s="3"/>
      <c r="BD13" s="3"/>
      <c r="BE13" s="3"/>
      <c r="BF13" s="22">
        <v>0.38</v>
      </c>
      <c r="BG13" s="3"/>
      <c r="BH13" s="3"/>
      <c r="BI13" s="3">
        <f>BI12*BF13</f>
        <v>0</v>
      </c>
      <c r="BJ13" s="3"/>
      <c r="BK13" s="22">
        <v>0.38</v>
      </c>
      <c r="BL13" s="3"/>
      <c r="BM13" s="3"/>
      <c r="BN13" s="3"/>
      <c r="BO13" s="3"/>
      <c r="BP13" s="3"/>
      <c r="BR13" s="22">
        <v>0.38</v>
      </c>
      <c r="BS13" s="3"/>
      <c r="BT13" s="3"/>
      <c r="BU13" s="3">
        <f>BU12*BR13</f>
        <v>0</v>
      </c>
      <c r="BV13" s="3"/>
      <c r="BW13" s="22">
        <v>0.38</v>
      </c>
      <c r="BX13" s="3"/>
      <c r="BY13" s="3"/>
      <c r="BZ13" s="3"/>
      <c r="CA13" s="3"/>
      <c r="CB13" s="3"/>
      <c r="CC13" s="3"/>
      <c r="CD13" s="22">
        <v>0.38</v>
      </c>
      <c r="CE13" s="3"/>
      <c r="CF13" s="3"/>
      <c r="CG13" s="3">
        <f>CG12*CD13</f>
        <v>0</v>
      </c>
      <c r="CH13" s="3"/>
      <c r="CI13" s="22">
        <v>0.38</v>
      </c>
      <c r="CJ13" s="3"/>
      <c r="CK13" s="3"/>
      <c r="CL13" s="3"/>
      <c r="CM13" s="3"/>
      <c r="CN13" s="3"/>
      <c r="CO13" s="3"/>
      <c r="CP13" s="22">
        <v>0.38</v>
      </c>
      <c r="CQ13" s="3"/>
      <c r="CR13" s="3"/>
      <c r="CS13" s="3">
        <f>CS12*CP13</f>
        <v>0</v>
      </c>
      <c r="CT13" s="3"/>
      <c r="CU13" s="22">
        <v>0.38</v>
      </c>
      <c r="CV13" s="3"/>
      <c r="CW13" s="3"/>
      <c r="CX13" s="3"/>
      <c r="CY13" s="3"/>
      <c r="CZ13" s="3"/>
      <c r="DA13" s="3"/>
    </row>
    <row r="14" spans="1:106" x14ac:dyDescent="0.25">
      <c r="A14" s="19" t="s">
        <v>31</v>
      </c>
      <c r="C14" s="3"/>
      <c r="D14" s="3"/>
      <c r="E14" s="3">
        <v>0</v>
      </c>
      <c r="H14" s="3"/>
      <c r="I14" s="3"/>
      <c r="J14" s="3">
        <v>0</v>
      </c>
      <c r="M14" s="3"/>
      <c r="N14" s="3"/>
      <c r="O14" s="3">
        <f>F1-O78-O12</f>
        <v>339000</v>
      </c>
      <c r="R14" s="3"/>
      <c r="S14" s="3"/>
      <c r="T14" s="3">
        <v>0</v>
      </c>
      <c r="W14" s="3"/>
      <c r="X14" s="3"/>
      <c r="Y14" s="3">
        <f>'Calc corp tax comb'!I36</f>
        <v>0</v>
      </c>
      <c r="Z14" s="3"/>
      <c r="AB14" s="3"/>
      <c r="AC14" s="3"/>
      <c r="AD14" s="3">
        <f>'Calc corp tax comb'!N36</f>
        <v>0</v>
      </c>
      <c r="AE14" s="3"/>
      <c r="AF14" s="3"/>
      <c r="AI14" s="3"/>
      <c r="AJ14" s="3"/>
      <c r="AK14" s="3">
        <f>'Calc corp tax comb'!C36</f>
        <v>0</v>
      </c>
      <c r="AL14" s="111"/>
      <c r="AN14" s="3"/>
      <c r="AO14" s="3"/>
      <c r="AP14" s="3"/>
      <c r="AQ14" s="111"/>
      <c r="AR14" s="3"/>
      <c r="AS14" s="111"/>
      <c r="AU14" s="3"/>
      <c r="AV14" s="3"/>
      <c r="AW14" s="3">
        <f>'Calc corp tax comb'!D36</f>
        <v>0</v>
      </c>
      <c r="AX14" s="3"/>
      <c r="AZ14" s="3"/>
      <c r="BA14" s="3"/>
      <c r="BB14" s="3"/>
      <c r="BC14" s="3"/>
      <c r="BD14" s="3"/>
      <c r="BE14" s="3"/>
      <c r="BG14" s="3"/>
      <c r="BH14" s="3"/>
      <c r="BI14" s="3">
        <f>'Calc corp tax comb'!E36</f>
        <v>0</v>
      </c>
      <c r="BJ14" s="3"/>
      <c r="BL14" s="3"/>
      <c r="BM14" s="3"/>
      <c r="BN14" s="3"/>
      <c r="BO14" s="3"/>
      <c r="BP14" s="3"/>
      <c r="BS14" s="3"/>
      <c r="BT14" s="3"/>
      <c r="BU14" s="3">
        <f>'Calc corp tax comb'!F36</f>
        <v>0</v>
      </c>
      <c r="BV14" s="3"/>
      <c r="BX14" s="3"/>
      <c r="BY14" s="3"/>
      <c r="BZ14" s="3"/>
      <c r="CA14" s="3"/>
      <c r="CB14" s="3"/>
      <c r="CC14" s="3"/>
      <c r="CE14" s="3"/>
      <c r="CF14" s="3"/>
      <c r="CG14" s="3">
        <f>'Calc corp tax comb'!$G$36</f>
        <v>0</v>
      </c>
      <c r="CH14" s="3"/>
      <c r="CJ14" s="3"/>
      <c r="CK14" s="3"/>
      <c r="CL14" s="3"/>
      <c r="CM14" s="3"/>
      <c r="CN14" s="3"/>
      <c r="CO14" s="3"/>
      <c r="CQ14" s="3"/>
      <c r="CR14" s="3"/>
      <c r="CS14" s="3">
        <f>'Calc corp tax comb'!$H$36</f>
        <v>0</v>
      </c>
      <c r="CT14" s="3"/>
      <c r="CV14" s="3"/>
      <c r="CW14" s="3"/>
      <c r="CX14" s="3"/>
      <c r="CY14" s="3"/>
      <c r="CZ14" s="3"/>
      <c r="DA14" s="3"/>
    </row>
    <row r="15" spans="1:106" x14ac:dyDescent="0.25">
      <c r="A15" s="19" t="s">
        <v>32</v>
      </c>
      <c r="B15" s="22">
        <v>0.25</v>
      </c>
      <c r="C15" s="3"/>
      <c r="D15" s="3"/>
      <c r="E15" s="3">
        <f>E14*B15</f>
        <v>0</v>
      </c>
      <c r="G15" s="22">
        <v>0.15</v>
      </c>
      <c r="H15" s="3"/>
      <c r="I15" s="3"/>
      <c r="J15" s="3">
        <f>J14*G15</f>
        <v>0</v>
      </c>
      <c r="L15" s="22">
        <f>$G$15</f>
        <v>0.15</v>
      </c>
      <c r="M15" s="3"/>
      <c r="N15" s="3"/>
      <c r="O15" s="3">
        <f>O14*L15</f>
        <v>50850</v>
      </c>
      <c r="Q15" s="22">
        <f>$G$15</f>
        <v>0.15</v>
      </c>
      <c r="R15" s="3"/>
      <c r="S15" s="3"/>
      <c r="T15" s="3">
        <f>T14*Q15</f>
        <v>0</v>
      </c>
      <c r="V15" s="22">
        <f>$G$15</f>
        <v>0.15</v>
      </c>
      <c r="W15" s="3"/>
      <c r="X15" s="3"/>
      <c r="Y15" s="3">
        <f>Y14*V15</f>
        <v>0</v>
      </c>
      <c r="Z15" s="3"/>
      <c r="AA15" s="22">
        <f>$G$15</f>
        <v>0.15</v>
      </c>
      <c r="AB15" s="3"/>
      <c r="AC15" s="3"/>
      <c r="AD15" s="3">
        <f>AD14*AA15</f>
        <v>0</v>
      </c>
      <c r="AE15" s="3"/>
      <c r="AF15" s="3"/>
      <c r="AH15" s="22">
        <f>$G$15</f>
        <v>0.15</v>
      </c>
      <c r="AI15" s="3"/>
      <c r="AJ15" s="3"/>
      <c r="AK15" s="3">
        <f>AK14*AH15</f>
        <v>0</v>
      </c>
      <c r="AL15" s="111"/>
      <c r="AM15" s="22">
        <f>$G$15</f>
        <v>0.15</v>
      </c>
      <c r="AN15" s="3"/>
      <c r="AO15" s="3"/>
      <c r="AP15" s="3"/>
      <c r="AQ15" s="111"/>
      <c r="AR15" s="3"/>
      <c r="AS15" s="111"/>
      <c r="AT15" s="22">
        <f>$G$15</f>
        <v>0.15</v>
      </c>
      <c r="AU15" s="3"/>
      <c r="AV15" s="3"/>
      <c r="AW15" s="3">
        <f>AW14*AT15</f>
        <v>0</v>
      </c>
      <c r="AX15" s="3"/>
      <c r="AY15" s="22"/>
      <c r="AZ15" s="3"/>
      <c r="BA15" s="3"/>
      <c r="BB15" s="3"/>
      <c r="BC15" s="3"/>
      <c r="BD15" s="3"/>
      <c r="BE15" s="3"/>
      <c r="BF15" s="22">
        <f>$G$15</f>
        <v>0.15</v>
      </c>
      <c r="BG15" s="3"/>
      <c r="BH15" s="3"/>
      <c r="BI15" s="3">
        <f>BI14*BF15</f>
        <v>0</v>
      </c>
      <c r="BJ15" s="3"/>
      <c r="BK15" s="22">
        <f>$G$15</f>
        <v>0.15</v>
      </c>
      <c r="BL15" s="3"/>
      <c r="BM15" s="3"/>
      <c r="BN15" s="3"/>
      <c r="BO15" s="3"/>
      <c r="BP15" s="3"/>
      <c r="BR15" s="22">
        <f>$G$15</f>
        <v>0.15</v>
      </c>
      <c r="BS15" s="3"/>
      <c r="BT15" s="3"/>
      <c r="BU15" s="3">
        <f>BU14*BR15</f>
        <v>0</v>
      </c>
      <c r="BV15" s="3"/>
      <c r="BW15" s="22">
        <f>$G$15</f>
        <v>0.15</v>
      </c>
      <c r="BX15" s="3"/>
      <c r="BY15" s="3"/>
      <c r="BZ15" s="3"/>
      <c r="CA15" s="3"/>
      <c r="CB15" s="3"/>
      <c r="CC15" s="3"/>
      <c r="CD15" s="22">
        <f>$G$15</f>
        <v>0.15</v>
      </c>
      <c r="CE15" s="3"/>
      <c r="CF15" s="3"/>
      <c r="CG15" s="3">
        <f>CG14*CD15</f>
        <v>0</v>
      </c>
      <c r="CH15" s="3"/>
      <c r="CI15" s="22">
        <f>$G$15</f>
        <v>0.15</v>
      </c>
      <c r="CJ15" s="3"/>
      <c r="CK15" s="3"/>
      <c r="CL15" s="3"/>
      <c r="CM15" s="3"/>
      <c r="CN15" s="3"/>
      <c r="CO15" s="3"/>
      <c r="CP15" s="22">
        <f>$G$15</f>
        <v>0.15</v>
      </c>
      <c r="CQ15" s="3"/>
      <c r="CR15" s="3"/>
      <c r="CS15" s="3">
        <f>CS14*CP15</f>
        <v>0</v>
      </c>
      <c r="CT15" s="3"/>
      <c r="CU15" s="22">
        <f>$G$15</f>
        <v>0.15</v>
      </c>
      <c r="CV15" s="3"/>
      <c r="CW15" s="3"/>
      <c r="CX15" s="3"/>
      <c r="CY15" s="3"/>
      <c r="CZ15" s="3"/>
      <c r="DA15" s="3"/>
    </row>
    <row r="16" spans="1:106" x14ac:dyDescent="0.25">
      <c r="B16" s="22"/>
      <c r="C16" s="3"/>
      <c r="D16" s="3"/>
      <c r="E16" s="3"/>
      <c r="G16" s="22"/>
      <c r="H16" s="3"/>
      <c r="I16" s="3"/>
      <c r="J16" s="3"/>
      <c r="L16" s="22"/>
      <c r="M16" s="3"/>
      <c r="N16" s="3"/>
      <c r="O16" s="3"/>
      <c r="Q16" s="22"/>
      <c r="R16" s="3"/>
      <c r="S16" s="3"/>
      <c r="T16" s="3"/>
      <c r="V16" s="22"/>
      <c r="W16" s="3"/>
      <c r="X16" s="3"/>
      <c r="Y16" s="3"/>
      <c r="Z16" s="3"/>
      <c r="AA16" s="22"/>
      <c r="AB16" s="3"/>
      <c r="AC16" s="3"/>
      <c r="AD16" s="3"/>
      <c r="AE16" s="3"/>
      <c r="AF16" s="3"/>
      <c r="AH16" s="22"/>
      <c r="AI16" s="3"/>
      <c r="AJ16" s="3"/>
      <c r="AK16" s="3"/>
      <c r="AL16" s="111"/>
      <c r="AM16" s="22"/>
      <c r="AN16" s="3"/>
      <c r="AO16" s="3"/>
      <c r="AP16" s="3"/>
      <c r="AQ16" s="111"/>
      <c r="AR16" s="3"/>
      <c r="AS16" s="111"/>
      <c r="AT16" s="22"/>
      <c r="AU16" s="3"/>
      <c r="AV16" s="3"/>
      <c r="AW16" s="3"/>
      <c r="AX16" s="3"/>
      <c r="AY16" s="22"/>
      <c r="AZ16" s="3"/>
      <c r="BA16" s="3"/>
      <c r="BB16" s="3"/>
      <c r="BC16" s="3"/>
      <c r="BD16" s="3"/>
      <c r="BE16" s="3"/>
      <c r="BF16" s="22"/>
      <c r="BG16" s="3"/>
      <c r="BH16" s="3"/>
      <c r="BI16" s="3"/>
      <c r="BJ16" s="3"/>
      <c r="BK16" s="22"/>
      <c r="BL16" s="3"/>
      <c r="BM16" s="3"/>
      <c r="BN16" s="3"/>
      <c r="BO16" s="3"/>
      <c r="BP16" s="3"/>
      <c r="BR16" s="22"/>
      <c r="BS16" s="3"/>
      <c r="BT16" s="3"/>
      <c r="BU16" s="3"/>
      <c r="BV16" s="3"/>
      <c r="BW16" s="22"/>
      <c r="BX16" s="3"/>
      <c r="BY16" s="3"/>
      <c r="BZ16" s="3"/>
      <c r="CA16" s="3"/>
      <c r="CB16" s="3"/>
      <c r="CC16" s="3"/>
      <c r="CD16" s="22"/>
      <c r="CE16" s="3"/>
      <c r="CF16" s="3"/>
      <c r="CG16" s="3"/>
      <c r="CH16" s="3"/>
      <c r="CI16" s="22"/>
      <c r="CJ16" s="3"/>
      <c r="CK16" s="3"/>
      <c r="CL16" s="3"/>
      <c r="CM16" s="3"/>
      <c r="CN16" s="3"/>
      <c r="CO16" s="3"/>
      <c r="CP16" s="22"/>
      <c r="CQ16" s="3"/>
      <c r="CR16" s="3"/>
      <c r="CS16" s="3"/>
      <c r="CT16" s="3"/>
      <c r="CU16" s="22"/>
      <c r="CV16" s="3"/>
      <c r="CW16" s="3"/>
      <c r="CX16" s="3"/>
      <c r="CY16" s="3"/>
      <c r="CZ16" s="3"/>
      <c r="DA16" s="3"/>
    </row>
    <row r="17" spans="1:105" x14ac:dyDescent="0.25">
      <c r="A17" s="19" t="s">
        <v>106</v>
      </c>
      <c r="B17" s="22"/>
      <c r="C17" s="3"/>
      <c r="D17" s="3"/>
      <c r="E17" s="3"/>
      <c r="G17" s="22"/>
      <c r="H17" s="3"/>
      <c r="I17" s="3"/>
      <c r="J17" s="3"/>
      <c r="L17" s="22"/>
      <c r="M17" s="3"/>
      <c r="N17" s="3"/>
      <c r="O17" s="3"/>
      <c r="Q17" s="22"/>
      <c r="R17" s="3"/>
      <c r="S17" s="3"/>
      <c r="T17" s="3"/>
      <c r="V17" s="22"/>
      <c r="W17" s="3"/>
      <c r="X17" s="3"/>
      <c r="Y17" s="3">
        <f>-Input!G30-Input!G29</f>
        <v>0</v>
      </c>
      <c r="Z17" s="3"/>
      <c r="AA17" s="22"/>
      <c r="AB17" s="3"/>
      <c r="AC17" s="3"/>
      <c r="AD17" s="3">
        <f>-Input!G30-Input!G29</f>
        <v>0</v>
      </c>
      <c r="AE17" s="3"/>
      <c r="AF17" s="3"/>
      <c r="AH17" s="22"/>
      <c r="AI17" s="3"/>
      <c r="AJ17" s="3"/>
      <c r="AK17" s="3">
        <f>-Input!G30-Input!G29</f>
        <v>0</v>
      </c>
      <c r="AL17" s="111"/>
      <c r="AM17" s="22"/>
      <c r="AN17" s="3"/>
      <c r="AO17" s="3"/>
      <c r="AP17" s="3">
        <f>-Input!G30-Input!G29</f>
        <v>0</v>
      </c>
      <c r="AQ17" s="111"/>
      <c r="AR17" s="3"/>
      <c r="AS17" s="111"/>
      <c r="AT17" s="22"/>
      <c r="AU17" s="3"/>
      <c r="AV17" s="3"/>
      <c r="AW17" s="3">
        <f>-Input!H30-Input!H29</f>
        <v>0</v>
      </c>
      <c r="AX17" s="3"/>
      <c r="AY17" s="22"/>
      <c r="AZ17" s="3"/>
      <c r="BA17" s="3"/>
      <c r="BB17" s="3">
        <f>-Input!H30-Input!H29</f>
        <v>0</v>
      </c>
      <c r="BC17" s="3"/>
      <c r="BD17" s="3"/>
      <c r="BE17" s="3"/>
      <c r="BF17" s="22"/>
      <c r="BG17" s="3"/>
      <c r="BH17" s="3"/>
      <c r="BI17" s="3">
        <f>-Input!I30-Input!I29</f>
        <v>0</v>
      </c>
      <c r="BJ17" s="3"/>
      <c r="BK17" s="22"/>
      <c r="BL17" s="3"/>
      <c r="BM17" s="3"/>
      <c r="BN17" s="3">
        <f>-Input!I30-Input!I29</f>
        <v>0</v>
      </c>
      <c r="BO17" s="3"/>
      <c r="BP17" s="3"/>
      <c r="BR17" s="22"/>
      <c r="BS17" s="3"/>
      <c r="BT17" s="3"/>
      <c r="BU17" s="3">
        <f>-Input!J30-Input!J29</f>
        <v>0</v>
      </c>
      <c r="BV17" s="3"/>
      <c r="BW17" s="22"/>
      <c r="BX17" s="3"/>
      <c r="BY17" s="3"/>
      <c r="BZ17" s="3">
        <f>-Input!J30-Input!J29</f>
        <v>0</v>
      </c>
      <c r="CA17" s="3"/>
      <c r="CB17" s="3"/>
      <c r="CC17" s="3"/>
      <c r="CD17" s="22"/>
      <c r="CE17" s="3"/>
      <c r="CF17" s="3"/>
      <c r="CG17" s="3">
        <f>-Input!K30-Input!K29</f>
        <v>0</v>
      </c>
      <c r="CH17" s="3"/>
      <c r="CI17" s="22"/>
      <c r="CJ17" s="3"/>
      <c r="CK17" s="3"/>
      <c r="CL17" s="3">
        <f>-Input!K30-Input!K29</f>
        <v>0</v>
      </c>
      <c r="CM17" s="3"/>
      <c r="CN17" s="3"/>
      <c r="CO17" s="3"/>
      <c r="CP17" s="22"/>
      <c r="CQ17" s="3"/>
      <c r="CR17" s="3"/>
      <c r="CS17" s="3">
        <f>-Input!L30-Input!L29</f>
        <v>0</v>
      </c>
      <c r="CT17" s="3"/>
      <c r="CU17" s="22"/>
      <c r="CV17" s="3"/>
      <c r="CW17" s="3"/>
      <c r="CX17" s="3">
        <f>-Input!L30-Input!L29</f>
        <v>0</v>
      </c>
      <c r="CY17" s="3"/>
      <c r="CZ17" s="3"/>
      <c r="DA17" s="3"/>
    </row>
    <row r="18" spans="1:105" x14ac:dyDescent="0.25">
      <c r="C18" s="3"/>
      <c r="D18" s="3"/>
      <c r="E18" s="3"/>
      <c r="H18" s="3"/>
      <c r="I18" s="3"/>
      <c r="J18" s="3"/>
      <c r="M18" s="3"/>
      <c r="N18" s="3"/>
      <c r="O18" s="3"/>
      <c r="R18" s="3"/>
      <c r="S18" s="3"/>
      <c r="T18" s="3"/>
      <c r="W18" s="3"/>
      <c r="X18" s="3"/>
      <c r="Y18" s="3"/>
      <c r="Z18" s="3"/>
      <c r="AB18" s="3"/>
      <c r="AC18" s="3"/>
      <c r="AD18" s="3"/>
      <c r="AE18" s="3"/>
      <c r="AF18" s="3"/>
      <c r="AI18" s="3"/>
      <c r="AJ18" s="3"/>
      <c r="AK18" s="3"/>
      <c r="AL18" s="111"/>
      <c r="AN18" s="3"/>
      <c r="AO18" s="3"/>
      <c r="AP18" s="3"/>
      <c r="AQ18" s="111"/>
      <c r="AR18" s="3"/>
      <c r="AS18" s="111"/>
      <c r="AU18" s="3"/>
      <c r="AV18" s="3"/>
      <c r="AW18" s="3"/>
      <c r="AX18" s="3"/>
      <c r="AZ18" s="3"/>
      <c r="BA18" s="3"/>
      <c r="BB18" s="3"/>
      <c r="BC18" s="3"/>
      <c r="BD18" s="3"/>
      <c r="BE18" s="3"/>
      <c r="BG18" s="3"/>
      <c r="BH18" s="3"/>
      <c r="BI18" s="3"/>
      <c r="BJ18" s="3"/>
      <c r="BL18" s="3"/>
      <c r="BM18" s="3"/>
      <c r="BN18" s="3"/>
      <c r="BO18" s="3"/>
      <c r="BP18" s="3"/>
      <c r="BS18" s="3"/>
      <c r="BT18" s="3"/>
      <c r="BU18" s="3"/>
      <c r="BV18" s="3"/>
      <c r="BX18" s="3"/>
      <c r="BY18" s="3"/>
      <c r="BZ18" s="3"/>
      <c r="CA18" s="3"/>
      <c r="CB18" s="3"/>
      <c r="CC18" s="3"/>
      <c r="CE18" s="3"/>
      <c r="CF18" s="3"/>
      <c r="CG18" s="3"/>
      <c r="CH18" s="3"/>
      <c r="CJ18" s="3"/>
      <c r="CK18" s="3"/>
      <c r="CL18" s="3"/>
      <c r="CM18" s="3"/>
      <c r="CN18" s="3"/>
      <c r="CO18" s="3"/>
      <c r="CQ18" s="3"/>
      <c r="CR18" s="3"/>
      <c r="CS18" s="3"/>
      <c r="CT18" s="3"/>
      <c r="CV18" s="3"/>
      <c r="CW18" s="3"/>
      <c r="CX18" s="3"/>
      <c r="CY18" s="3"/>
      <c r="CZ18" s="3"/>
      <c r="DA18" s="3"/>
    </row>
    <row r="19" spans="1:105" x14ac:dyDescent="0.25">
      <c r="A19" s="21" t="s">
        <v>1</v>
      </c>
      <c r="B19" s="17"/>
      <c r="C19" s="18"/>
      <c r="D19" s="18"/>
      <c r="E19" s="16">
        <f>SUM(E10:E15)</f>
        <v>101430</v>
      </c>
      <c r="F19" s="21"/>
      <c r="G19" s="17"/>
      <c r="H19" s="18"/>
      <c r="I19" s="18"/>
      <c r="J19" s="16">
        <f>SUM(J10:J18)</f>
        <v>507150</v>
      </c>
      <c r="L19" s="17"/>
      <c r="M19" s="18"/>
      <c r="N19" s="18"/>
      <c r="O19" s="16">
        <f>SUM(O10:O18)</f>
        <v>527850</v>
      </c>
      <c r="Q19" s="17"/>
      <c r="R19" s="18"/>
      <c r="S19" s="18"/>
      <c r="T19" s="16">
        <f>SUM(T10:T18)</f>
        <v>500000</v>
      </c>
      <c r="V19" s="17"/>
      <c r="W19" s="18"/>
      <c r="X19" s="18"/>
      <c r="Y19" s="16">
        <f>SUM(Y8:Y18)</f>
        <v>0</v>
      </c>
      <c r="Z19" s="106"/>
      <c r="AA19" s="17"/>
      <c r="AB19" s="18"/>
      <c r="AC19" s="18"/>
      <c r="AD19" s="16">
        <f>SUM(AD8:AD18)</f>
        <v>0</v>
      </c>
      <c r="AE19" s="106"/>
      <c r="AF19" s="106"/>
      <c r="AH19" s="17"/>
      <c r="AI19" s="18"/>
      <c r="AJ19" s="18"/>
      <c r="AK19" s="16">
        <f>SUM(AK7:AK18)</f>
        <v>0</v>
      </c>
      <c r="AL19" s="97"/>
      <c r="AM19" s="17"/>
      <c r="AN19" s="18"/>
      <c r="AO19" s="18"/>
      <c r="AP19" s="16">
        <f>SUM(AP7:AP18)</f>
        <v>0</v>
      </c>
      <c r="AQ19" s="97"/>
      <c r="AR19" s="106"/>
      <c r="AS19" s="97"/>
      <c r="AT19" s="17"/>
      <c r="AU19" s="18"/>
      <c r="AV19" s="18"/>
      <c r="AW19" s="16">
        <f>SUM(AW7:AW18)</f>
        <v>0</v>
      </c>
      <c r="AX19" s="106"/>
      <c r="AY19" s="17"/>
      <c r="AZ19" s="18"/>
      <c r="BA19" s="18"/>
      <c r="BB19" s="16">
        <f>SUM(BB7:BB18)</f>
        <v>0</v>
      </c>
      <c r="BC19" s="106"/>
      <c r="BD19" s="106"/>
      <c r="BE19" s="106"/>
      <c r="BF19" s="17"/>
      <c r="BG19" s="18"/>
      <c r="BH19" s="18"/>
      <c r="BI19" s="16">
        <f>SUM(BI7:BI18)</f>
        <v>0</v>
      </c>
      <c r="BJ19" s="106"/>
      <c r="BK19" s="17"/>
      <c r="BL19" s="18"/>
      <c r="BM19" s="18"/>
      <c r="BN19" s="16">
        <f>SUM(BN7:BN18)</f>
        <v>0</v>
      </c>
      <c r="BO19" s="106"/>
      <c r="BP19" s="106"/>
      <c r="BR19" s="17"/>
      <c r="BS19" s="18"/>
      <c r="BT19" s="18"/>
      <c r="BU19" s="16">
        <f>SUM(BU7:BU18)</f>
        <v>0</v>
      </c>
      <c r="BV19" s="106"/>
      <c r="BW19" s="17"/>
      <c r="BX19" s="18"/>
      <c r="BY19" s="18"/>
      <c r="BZ19" s="16">
        <f>SUM(BZ7:BZ18)</f>
        <v>0</v>
      </c>
      <c r="CA19" s="106"/>
      <c r="CB19" s="106"/>
      <c r="CC19" s="106"/>
      <c r="CD19" s="17"/>
      <c r="CE19" s="18"/>
      <c r="CF19" s="18"/>
      <c r="CG19" s="16">
        <f>SUM(CG7:CG18)</f>
        <v>0</v>
      </c>
      <c r="CH19" s="106"/>
      <c r="CI19" s="17"/>
      <c r="CJ19" s="18"/>
      <c r="CK19" s="18"/>
      <c r="CL19" s="16">
        <f>SUM(CL7:CL18)</f>
        <v>0</v>
      </c>
      <c r="CM19" s="106"/>
      <c r="CN19" s="106"/>
      <c r="CO19" s="106"/>
      <c r="CP19" s="17"/>
      <c r="CQ19" s="18"/>
      <c r="CR19" s="18"/>
      <c r="CS19" s="16">
        <f>SUM(CS7:CS18)</f>
        <v>0</v>
      </c>
      <c r="CT19" s="106"/>
      <c r="CU19" s="17"/>
      <c r="CV19" s="18"/>
      <c r="CW19" s="18"/>
      <c r="CX19" s="16">
        <f>SUM(CX7:CX18)</f>
        <v>0</v>
      </c>
      <c r="CY19" s="106"/>
      <c r="CZ19" s="106"/>
      <c r="DA19" s="106"/>
    </row>
    <row r="20" spans="1:105" x14ac:dyDescent="0.25">
      <c r="C20" s="3"/>
      <c r="D20" s="3"/>
      <c r="E20" s="3"/>
      <c r="H20" s="3"/>
      <c r="I20" s="3"/>
      <c r="J20" s="3"/>
      <c r="M20" s="3"/>
      <c r="N20" s="3"/>
      <c r="O20" s="3"/>
      <c r="R20" s="3"/>
      <c r="S20" s="3"/>
      <c r="T20" s="3"/>
      <c r="W20" s="3"/>
      <c r="X20" s="3"/>
      <c r="Y20" s="3"/>
      <c r="Z20" s="3"/>
      <c r="AB20" s="3"/>
      <c r="AC20" s="3"/>
      <c r="AD20" s="3"/>
      <c r="AE20" s="3"/>
      <c r="AF20" s="3"/>
      <c r="AI20" s="3"/>
      <c r="AJ20" s="3"/>
      <c r="AK20" s="3"/>
      <c r="AL20" s="111"/>
      <c r="AN20" s="3"/>
      <c r="AO20" s="3"/>
      <c r="AP20" s="3"/>
      <c r="AQ20" s="111"/>
      <c r="AR20" s="3"/>
      <c r="AS20" s="111"/>
      <c r="AU20" s="3"/>
      <c r="AV20" s="3"/>
      <c r="AW20" s="3"/>
      <c r="AX20" s="3"/>
      <c r="AZ20" s="3"/>
      <c r="BA20" s="3"/>
      <c r="BB20" s="3"/>
      <c r="BC20" s="3"/>
      <c r="BD20" s="3"/>
      <c r="BE20" s="3"/>
      <c r="BG20" s="3"/>
      <c r="BH20" s="3"/>
      <c r="BI20" s="3"/>
      <c r="BJ20" s="3"/>
      <c r="BL20" s="3"/>
      <c r="BM20" s="3"/>
      <c r="BN20" s="3"/>
      <c r="BO20" s="3"/>
      <c r="BP20" s="3"/>
      <c r="BS20" s="3"/>
      <c r="BT20" s="3"/>
      <c r="BU20" s="3"/>
      <c r="BV20" s="3"/>
      <c r="BX20" s="3"/>
      <c r="BY20" s="3"/>
      <c r="BZ20" s="3"/>
      <c r="CA20" s="3"/>
      <c r="CB20" s="3"/>
      <c r="CC20" s="3"/>
      <c r="CE20" s="3"/>
      <c r="CF20" s="3"/>
      <c r="CG20" s="3"/>
      <c r="CH20" s="3"/>
      <c r="CJ20" s="3"/>
      <c r="CK20" s="3"/>
      <c r="CL20" s="3"/>
      <c r="CM20" s="3"/>
      <c r="CN20" s="3"/>
      <c r="CO20" s="3"/>
      <c r="CQ20" s="3"/>
      <c r="CR20" s="3"/>
      <c r="CS20" s="3"/>
      <c r="CT20" s="3"/>
      <c r="CV20" s="3"/>
      <c r="CW20" s="3"/>
      <c r="CX20" s="3"/>
      <c r="CY20" s="3"/>
      <c r="CZ20" s="3"/>
      <c r="DA20" s="3"/>
    </row>
    <row r="21" spans="1:105" x14ac:dyDescent="0.25">
      <c r="A21" s="21" t="s">
        <v>22</v>
      </c>
      <c r="C21" s="3"/>
      <c r="D21" s="3"/>
      <c r="E21" s="3"/>
      <c r="H21" s="3"/>
      <c r="I21" s="3"/>
      <c r="J21" s="3"/>
      <c r="M21" s="3"/>
      <c r="N21" s="3"/>
      <c r="O21" s="3"/>
      <c r="R21" s="3"/>
      <c r="S21" s="3"/>
      <c r="T21" s="3"/>
      <c r="W21" s="3"/>
      <c r="X21" s="3"/>
      <c r="Y21" s="3"/>
      <c r="Z21" s="3"/>
      <c r="AB21" s="3"/>
      <c r="AC21" s="3"/>
      <c r="AD21" s="3"/>
      <c r="AE21" s="3"/>
      <c r="AF21" s="3"/>
      <c r="AI21" s="3"/>
      <c r="AJ21" s="3"/>
      <c r="AK21" s="3"/>
      <c r="AL21" s="111"/>
      <c r="AN21" s="3"/>
      <c r="AO21" s="3"/>
      <c r="AP21" s="3"/>
      <c r="AQ21" s="111"/>
      <c r="AR21" s="3"/>
      <c r="AS21" s="111"/>
      <c r="AU21" s="3"/>
      <c r="AV21" s="3"/>
      <c r="AW21" s="3"/>
      <c r="AX21" s="3"/>
      <c r="AZ21" s="3"/>
      <c r="BA21" s="3"/>
      <c r="BB21" s="3"/>
      <c r="BC21" s="3"/>
      <c r="BD21" s="3"/>
      <c r="BE21" s="3"/>
      <c r="BG21" s="3"/>
      <c r="BH21" s="3"/>
      <c r="BI21" s="3"/>
      <c r="BJ21" s="3"/>
      <c r="BL21" s="3"/>
      <c r="BM21" s="3"/>
      <c r="BN21" s="3"/>
      <c r="BO21" s="3"/>
      <c r="BP21" s="3"/>
      <c r="BS21" s="3"/>
      <c r="BT21" s="3"/>
      <c r="BU21" s="3"/>
      <c r="BV21" s="3"/>
      <c r="BX21" s="3"/>
      <c r="BY21" s="3"/>
      <c r="BZ21" s="3"/>
      <c r="CA21" s="3"/>
      <c r="CB21" s="3"/>
      <c r="CC21" s="3"/>
      <c r="CE21" s="3"/>
      <c r="CF21" s="3"/>
      <c r="CG21" s="3"/>
      <c r="CH21" s="3"/>
      <c r="CJ21" s="3"/>
      <c r="CK21" s="3"/>
      <c r="CL21" s="3"/>
      <c r="CM21" s="3"/>
      <c r="CN21" s="3"/>
      <c r="CO21" s="3"/>
      <c r="CQ21" s="3"/>
      <c r="CR21" s="3"/>
      <c r="CS21" s="3"/>
      <c r="CT21" s="3"/>
      <c r="CV21" s="3"/>
      <c r="CW21" s="3"/>
      <c r="CX21" s="3"/>
      <c r="CY21" s="3"/>
      <c r="CZ21" s="3"/>
      <c r="DA21" s="3"/>
    </row>
    <row r="22" spans="1:105" x14ac:dyDescent="0.25">
      <c r="B22" s="22">
        <v>0.15</v>
      </c>
      <c r="C22" s="3">
        <v>0</v>
      </c>
      <c r="D22" s="3">
        <v>43561</v>
      </c>
      <c r="E22" s="1">
        <f>IF(E19&gt;D22,D22*B22,E19*B22)</f>
        <v>6534.15</v>
      </c>
      <c r="G22" s="23">
        <v>0.15</v>
      </c>
      <c r="H22" s="3">
        <v>0</v>
      </c>
      <c r="I22" s="3">
        <v>49020</v>
      </c>
      <c r="J22" s="1">
        <f>IF(J19&gt;I22,I22*G22,J19*G22)</f>
        <v>7353</v>
      </c>
      <c r="L22" s="23">
        <f t="shared" ref="L22:N26" si="15">G22</f>
        <v>0.15</v>
      </c>
      <c r="M22" s="3">
        <f t="shared" si="15"/>
        <v>0</v>
      </c>
      <c r="N22" s="3">
        <f t="shared" si="15"/>
        <v>49020</v>
      </c>
      <c r="O22" s="1">
        <f>IF(O19&gt;N22,N22*L22,O19*L22)</f>
        <v>7353</v>
      </c>
      <c r="Q22" s="22">
        <f t="shared" ref="Q22:S26" si="16">G22</f>
        <v>0.15</v>
      </c>
      <c r="R22" s="3">
        <f t="shared" si="16"/>
        <v>0</v>
      </c>
      <c r="S22" s="3">
        <f t="shared" si="16"/>
        <v>49020</v>
      </c>
      <c r="T22" s="1">
        <f>IF(T19&gt;S22,S22*Q22,T19*Q22)</f>
        <v>7353</v>
      </c>
      <c r="V22" s="22">
        <f t="shared" ref="V22:X26" si="17">G22</f>
        <v>0.15</v>
      </c>
      <c r="W22" s="3">
        <f t="shared" si="17"/>
        <v>0</v>
      </c>
      <c r="X22" s="3">
        <f t="shared" si="17"/>
        <v>49020</v>
      </c>
      <c r="Y22" s="1">
        <f>IF(Y19&gt;X22,X22*V22,Y19*V22)</f>
        <v>0</v>
      </c>
      <c r="Z22" s="1"/>
      <c r="AA22" s="22">
        <f t="shared" ref="AA22:AC26" si="18">Q22</f>
        <v>0.15</v>
      </c>
      <c r="AB22" s="3">
        <f t="shared" si="18"/>
        <v>0</v>
      </c>
      <c r="AC22" s="3">
        <f t="shared" si="18"/>
        <v>49020</v>
      </c>
      <c r="AD22" s="1">
        <f>IF(AD19&gt;AC22,AC22*AA22,AD19*AA22)</f>
        <v>0</v>
      </c>
      <c r="AE22" s="1"/>
      <c r="AF22" s="1"/>
      <c r="AH22" s="22">
        <f>$G$22</f>
        <v>0.15</v>
      </c>
      <c r="AI22" s="3">
        <f>$H$22</f>
        <v>0</v>
      </c>
      <c r="AJ22" s="3">
        <f>$I$22</f>
        <v>49020</v>
      </c>
      <c r="AK22" s="1">
        <f>IF(AK19&gt;AJ22,AJ22*AH22,AK19*AH22)</f>
        <v>0</v>
      </c>
      <c r="AL22" s="94"/>
      <c r="AM22" s="22">
        <f>$G$22</f>
        <v>0.15</v>
      </c>
      <c r="AN22" s="3">
        <f>$H$22</f>
        <v>0</v>
      </c>
      <c r="AO22" s="3">
        <f>$I$22</f>
        <v>49020</v>
      </c>
      <c r="AP22" s="1">
        <f>IF(AP19&gt;AO22,AO22*AM22,AP19*AM22)</f>
        <v>0</v>
      </c>
      <c r="AQ22" s="94"/>
      <c r="AR22" s="1"/>
      <c r="AS22" s="94"/>
      <c r="AT22" s="22">
        <f>$G$22</f>
        <v>0.15</v>
      </c>
      <c r="AU22" s="3">
        <f>$H$22</f>
        <v>0</v>
      </c>
      <c r="AV22" s="3">
        <f>$I$22</f>
        <v>49020</v>
      </c>
      <c r="AW22" s="1">
        <f>IF(AW19&gt;AV22,AV22*AT22,AW19*AT22)</f>
        <v>0</v>
      </c>
      <c r="AX22" s="1"/>
      <c r="AY22" s="22">
        <f>$G$22</f>
        <v>0.15</v>
      </c>
      <c r="AZ22" s="3">
        <f>$H$22</f>
        <v>0</v>
      </c>
      <c r="BA22" s="3">
        <f>$I$22</f>
        <v>49020</v>
      </c>
      <c r="BB22" s="1">
        <f>IF(BB19&gt;BA22,BA22*AY22,BB19*AY22)</f>
        <v>0</v>
      </c>
      <c r="BC22" s="1"/>
      <c r="BD22" s="1"/>
      <c r="BE22" s="1"/>
      <c r="BF22" s="22">
        <f>$G$22</f>
        <v>0.15</v>
      </c>
      <c r="BG22" s="3">
        <f>$H$22</f>
        <v>0</v>
      </c>
      <c r="BH22" s="3">
        <f>$I$22</f>
        <v>49020</v>
      </c>
      <c r="BI22" s="1">
        <f>IF(BI19&gt;BH22,BH22*BF22,BI19*BF22)</f>
        <v>0</v>
      </c>
      <c r="BJ22" s="1"/>
      <c r="BK22" s="22">
        <f>$G$22</f>
        <v>0.15</v>
      </c>
      <c r="BL22" s="3">
        <f>$H$22</f>
        <v>0</v>
      </c>
      <c r="BM22" s="3">
        <f>$I$22</f>
        <v>49020</v>
      </c>
      <c r="BN22" s="1">
        <f>IF(BN19&gt;BM22,BM22*BK22,BN19*BK22)</f>
        <v>0</v>
      </c>
      <c r="BO22" s="1"/>
      <c r="BP22" s="1"/>
      <c r="BR22" s="22">
        <f>$G$22</f>
        <v>0.15</v>
      </c>
      <c r="BS22" s="3">
        <f>$H$22</f>
        <v>0</v>
      </c>
      <c r="BT22" s="3">
        <f>$I$22</f>
        <v>49020</v>
      </c>
      <c r="BU22" s="1">
        <f>IF(BU19&gt;BT22,BT22*BR22,BU19*BR22)</f>
        <v>0</v>
      </c>
      <c r="BV22" s="1"/>
      <c r="BW22" s="22">
        <f>$G$22</f>
        <v>0.15</v>
      </c>
      <c r="BX22" s="3">
        <f>$H$22</f>
        <v>0</v>
      </c>
      <c r="BY22" s="3">
        <f>$I$22</f>
        <v>49020</v>
      </c>
      <c r="BZ22" s="1">
        <f>IF(BZ19&gt;BY22,BY22*BW22,BZ19*BW22)</f>
        <v>0</v>
      </c>
      <c r="CA22" s="1"/>
      <c r="CB22" s="1"/>
      <c r="CC22" s="1"/>
      <c r="CD22" s="22">
        <f>$G$22</f>
        <v>0.15</v>
      </c>
      <c r="CE22" s="3">
        <f>$H$22</f>
        <v>0</v>
      </c>
      <c r="CF22" s="3">
        <f>$I$22</f>
        <v>49020</v>
      </c>
      <c r="CG22" s="1">
        <f>IF(CG19&gt;CF22,CF22*CD22,CG19*CD22)</f>
        <v>0</v>
      </c>
      <c r="CH22" s="1"/>
      <c r="CI22" s="22">
        <f>$G$22</f>
        <v>0.15</v>
      </c>
      <c r="CJ22" s="3">
        <f>$H$22</f>
        <v>0</v>
      </c>
      <c r="CK22" s="3">
        <f>$I$22</f>
        <v>49020</v>
      </c>
      <c r="CL22" s="1">
        <f>IF(CL19&gt;CK22,CK22*CI22,CL19*CI22)</f>
        <v>0</v>
      </c>
      <c r="CM22" s="1"/>
      <c r="CN22" s="1"/>
      <c r="CO22" s="1"/>
      <c r="CP22" s="22">
        <f>$G$22</f>
        <v>0.15</v>
      </c>
      <c r="CQ22" s="3">
        <f>$H$22</f>
        <v>0</v>
      </c>
      <c r="CR22" s="3">
        <f>$I$22</f>
        <v>49020</v>
      </c>
      <c r="CS22" s="1">
        <f>IF(CS19&gt;CR22,CR22*CP22,CS19*CP22)</f>
        <v>0</v>
      </c>
      <c r="CT22" s="1"/>
      <c r="CU22" s="22">
        <f>$G$22</f>
        <v>0.15</v>
      </c>
      <c r="CV22" s="3">
        <f>$H$22</f>
        <v>0</v>
      </c>
      <c r="CW22" s="3">
        <f>$I$22</f>
        <v>49020</v>
      </c>
      <c r="CX22" s="1">
        <f>IF(CX19&gt;CW22,CW22*CU22,CX19*CU22)</f>
        <v>0</v>
      </c>
      <c r="CY22" s="1"/>
      <c r="CZ22" s="1"/>
      <c r="DA22" s="1"/>
    </row>
    <row r="23" spans="1:105" x14ac:dyDescent="0.25">
      <c r="B23" s="22">
        <v>0.22</v>
      </c>
      <c r="C23" s="3">
        <v>43562</v>
      </c>
      <c r="D23" s="3">
        <v>87123</v>
      </c>
      <c r="E23" s="1">
        <f>IF(E$19&gt;D23,(D23-C23)*B23,IF(E$19&lt;D23,IF(E$19&gt;C23,(E$19-C23)*B23,0),0))</f>
        <v>9583.42</v>
      </c>
      <c r="G23" s="23">
        <v>0.20499999999999999</v>
      </c>
      <c r="H23" s="3">
        <f>+I22+1</f>
        <v>49021</v>
      </c>
      <c r="I23" s="3">
        <v>98040</v>
      </c>
      <c r="J23" s="1">
        <f>IF(J$19&gt;=I23,(I23-H23)*G23,IF(J$19&lt;I23,IF(J$19&gt;H23,(J$19-H23)*G23,0),0))</f>
        <v>10048.894999999999</v>
      </c>
      <c r="L23" s="23">
        <f t="shared" si="15"/>
        <v>0.20499999999999999</v>
      </c>
      <c r="M23" s="3">
        <f t="shared" si="15"/>
        <v>49021</v>
      </c>
      <c r="N23" s="3">
        <f t="shared" si="15"/>
        <v>98040</v>
      </c>
      <c r="O23" s="1">
        <f>IF(O$19&gt;=N23,(N23-M23)*L23,IF(O$19&lt;N23,IF(O$19&gt;M23,(O$19-M23)*L23,0),0))</f>
        <v>10048.894999999999</v>
      </c>
      <c r="Q23" s="22">
        <f t="shared" si="16"/>
        <v>0.20499999999999999</v>
      </c>
      <c r="R23" s="3">
        <f t="shared" si="16"/>
        <v>49021</v>
      </c>
      <c r="S23" s="3">
        <f t="shared" si="16"/>
        <v>98040</v>
      </c>
      <c r="T23" s="1">
        <f>IF(T$19&gt;=S23,(S23-R23)*Q23,IF(T$19&lt;S23,IF(T$19&gt;R23,(T$19-R23)*Q23,0),0))</f>
        <v>10048.894999999999</v>
      </c>
      <c r="V23" s="22">
        <f t="shared" si="17"/>
        <v>0.20499999999999999</v>
      </c>
      <c r="W23" s="3">
        <f t="shared" si="17"/>
        <v>49021</v>
      </c>
      <c r="X23" s="3">
        <f t="shared" si="17"/>
        <v>98040</v>
      </c>
      <c r="Y23" s="1">
        <f>IF(Y$19&gt;=X23,(X23-W23)*V23,IF(Y$19&lt;X23,IF(Y$19&gt;W23,(Y$19-W23)*V23,0),0))</f>
        <v>0</v>
      </c>
      <c r="Z23" s="1"/>
      <c r="AA23" s="22">
        <f t="shared" si="18"/>
        <v>0.20499999999999999</v>
      </c>
      <c r="AB23" s="3">
        <f t="shared" si="18"/>
        <v>49021</v>
      </c>
      <c r="AC23" s="3">
        <f t="shared" si="18"/>
        <v>98040</v>
      </c>
      <c r="AD23" s="1">
        <f>IF(AD$19&gt;=AC23,(AC23-AB23)*AA23,IF(AD$19&lt;AC23,IF(AD$19&gt;AB23,(AD$19-AB23)*AA23,0),0))</f>
        <v>0</v>
      </c>
      <c r="AE23" s="1"/>
      <c r="AF23" s="1"/>
      <c r="AH23" s="22">
        <f>$G$23</f>
        <v>0.20499999999999999</v>
      </c>
      <c r="AI23" s="3">
        <f>$H$23</f>
        <v>49021</v>
      </c>
      <c r="AJ23" s="3">
        <f>$I$23</f>
        <v>98040</v>
      </c>
      <c r="AK23" s="1">
        <f>IF(AK$19&gt;=AJ23,(AJ23-AI23)*AH23,IF(AK$19&lt;AJ23,IF(AK$19&gt;AI23,(AK$19-AI23)*AH23,0),0))</f>
        <v>0</v>
      </c>
      <c r="AL23" s="94"/>
      <c r="AM23" s="22">
        <f>$G$23</f>
        <v>0.20499999999999999</v>
      </c>
      <c r="AN23" s="3">
        <f>$H$23</f>
        <v>49021</v>
      </c>
      <c r="AO23" s="3">
        <f>$I$23</f>
        <v>98040</v>
      </c>
      <c r="AP23" s="1">
        <f>IF(AP$19&gt;=AO23,(AO23-AN23)*AM23,IF(AP$19&lt;AO23,IF(AP$19&gt;AN23,(AP$19-AN23)*AM23,0),0))</f>
        <v>0</v>
      </c>
      <c r="AQ23" s="94"/>
      <c r="AR23" s="1"/>
      <c r="AS23" s="94"/>
      <c r="AT23" s="22">
        <f>$G$23</f>
        <v>0.20499999999999999</v>
      </c>
      <c r="AU23" s="3">
        <f>$H$23</f>
        <v>49021</v>
      </c>
      <c r="AV23" s="3">
        <f>$I$23</f>
        <v>98040</v>
      </c>
      <c r="AW23" s="1">
        <f>IF(AW$19&gt;=AV23,(AV23-AU23)*AT23,IF(AW$19&lt;AV23,IF(AW$19&gt;AU23,(AW$19-AU23)*AT23,0),0))</f>
        <v>0</v>
      </c>
      <c r="AX23" s="1"/>
      <c r="AY23" s="22">
        <f>$G$23</f>
        <v>0.20499999999999999</v>
      </c>
      <c r="AZ23" s="3">
        <f>$H$23</f>
        <v>49021</v>
      </c>
      <c r="BA23" s="3">
        <f>$I$23</f>
        <v>98040</v>
      </c>
      <c r="BB23" s="1">
        <f>IF(BB$19&gt;=BA23,(BA23-AZ23)*AY23,IF(BB$19&lt;BA23,IF(BB$19&gt;AZ23,(BB$19-AZ23)*AY23,0),0))</f>
        <v>0</v>
      </c>
      <c r="BC23" s="1"/>
      <c r="BD23" s="1"/>
      <c r="BE23" s="1"/>
      <c r="BF23" s="22">
        <f>$G$23</f>
        <v>0.20499999999999999</v>
      </c>
      <c r="BG23" s="3">
        <f>$H$23</f>
        <v>49021</v>
      </c>
      <c r="BH23" s="3">
        <f>$I$23</f>
        <v>98040</v>
      </c>
      <c r="BI23" s="1">
        <f>IF(BI$19&gt;=BH23,(BH23-BG23)*BF23,IF(BI$19&lt;BH23,IF(BI$19&gt;BG23,(BI$19-BG23)*BF23,0),0))</f>
        <v>0</v>
      </c>
      <c r="BJ23" s="1"/>
      <c r="BK23" s="22">
        <f>$G$23</f>
        <v>0.20499999999999999</v>
      </c>
      <c r="BL23" s="3">
        <f>$H$23</f>
        <v>49021</v>
      </c>
      <c r="BM23" s="3">
        <f>$I$23</f>
        <v>98040</v>
      </c>
      <c r="BN23" s="1">
        <f>IF(BN$19&gt;=BM23,(BM23-BL23)*BK23,IF(BN$19&lt;BM23,IF(BN$19&gt;BL23,(BN$19-BL23)*BK23,0),0))</f>
        <v>0</v>
      </c>
      <c r="BO23" s="1"/>
      <c r="BP23" s="1"/>
      <c r="BR23" s="22">
        <f>$G$23</f>
        <v>0.20499999999999999</v>
      </c>
      <c r="BS23" s="3">
        <f>$H$23</f>
        <v>49021</v>
      </c>
      <c r="BT23" s="3">
        <f>$I$23</f>
        <v>98040</v>
      </c>
      <c r="BU23" s="1">
        <f>IF(BU$19&gt;=BT23,(BT23-BS23)*BR23,IF(BU$19&lt;BT23,IF(BU$19&gt;BS23,(BU$19-BS23)*BR23,0),0))</f>
        <v>0</v>
      </c>
      <c r="BV23" s="1"/>
      <c r="BW23" s="22">
        <f>$G$23</f>
        <v>0.20499999999999999</v>
      </c>
      <c r="BX23" s="3">
        <f>$H$23</f>
        <v>49021</v>
      </c>
      <c r="BY23" s="3">
        <f>$I$23</f>
        <v>98040</v>
      </c>
      <c r="BZ23" s="1">
        <f>IF(BZ$19&gt;=BY23,(BY23-BX23)*BW23,IF(BZ$19&lt;BY23,IF(BZ$19&gt;BX23,(BZ$19-BX23)*BW23,0),0))</f>
        <v>0</v>
      </c>
      <c r="CA23" s="1"/>
      <c r="CB23" s="1"/>
      <c r="CC23" s="1"/>
      <c r="CD23" s="22">
        <f>$G$23</f>
        <v>0.20499999999999999</v>
      </c>
      <c r="CE23" s="3">
        <f>$H$23</f>
        <v>49021</v>
      </c>
      <c r="CF23" s="3">
        <f>$I$23</f>
        <v>98040</v>
      </c>
      <c r="CG23" s="1">
        <f>IF(CG$19&gt;=CF23,(CF23-CE23)*CD23,IF(CG$19&lt;CF23,IF(CG$19&gt;CE23,(CG$19-CE23)*CD23,0),0))</f>
        <v>0</v>
      </c>
      <c r="CH23" s="1"/>
      <c r="CI23" s="22">
        <f>$G$23</f>
        <v>0.20499999999999999</v>
      </c>
      <c r="CJ23" s="3">
        <f>$H$23</f>
        <v>49021</v>
      </c>
      <c r="CK23" s="3">
        <f>$I$23</f>
        <v>98040</v>
      </c>
      <c r="CL23" s="1">
        <f>IF(CL$19&gt;=CK23,(CK23-CJ23)*CI23,IF(CL$19&lt;CK23,IF(CL$19&gt;CJ23,(CL$19-CJ23)*CI23,0),0))</f>
        <v>0</v>
      </c>
      <c r="CM23" s="1"/>
      <c r="CN23" s="1"/>
      <c r="CO23" s="1"/>
      <c r="CP23" s="22">
        <f>$G$23</f>
        <v>0.20499999999999999</v>
      </c>
      <c r="CQ23" s="3">
        <f>$H$23</f>
        <v>49021</v>
      </c>
      <c r="CR23" s="3">
        <f>$I$23</f>
        <v>98040</v>
      </c>
      <c r="CS23" s="1">
        <f>IF(CS$19&gt;=CR23,(CR23-CQ23)*CP23,IF(CS$19&lt;CR23,IF(CS$19&gt;CQ23,(CS$19-CQ23)*CP23,0),0))</f>
        <v>0</v>
      </c>
      <c r="CT23" s="1"/>
      <c r="CU23" s="22">
        <f>$G$23</f>
        <v>0.20499999999999999</v>
      </c>
      <c r="CV23" s="3">
        <f>$H$23</f>
        <v>49021</v>
      </c>
      <c r="CW23" s="3">
        <f>$I$23</f>
        <v>98040</v>
      </c>
      <c r="CX23" s="1">
        <f>IF(CX$19&gt;=CW23,(CW23-CV23)*CU23,IF(CX$19&lt;CW23,IF(CX$19&gt;CV23,(CX$19-CV23)*CU23,0),0))</f>
        <v>0</v>
      </c>
      <c r="CY23" s="1"/>
      <c r="CZ23" s="1"/>
      <c r="DA23" s="1"/>
    </row>
    <row r="24" spans="1:105" x14ac:dyDescent="0.25">
      <c r="B24" s="22">
        <v>0.26</v>
      </c>
      <c r="C24" s="3">
        <v>87124</v>
      </c>
      <c r="D24" s="3">
        <v>135054</v>
      </c>
      <c r="E24" s="1">
        <f>IF(E$19&gt;D24,(D24-C24)*B24,IF(E$19&lt;D24,IF(E$19&gt;C24,(E$19-C24)*B24,0),0))</f>
        <v>3719.56</v>
      </c>
      <c r="G24" s="23">
        <v>0.26</v>
      </c>
      <c r="H24" s="3">
        <f>+I23+1</f>
        <v>98041</v>
      </c>
      <c r="I24" s="3">
        <v>151978</v>
      </c>
      <c r="J24" s="1">
        <f>IF(J$19&gt;=I24,(I24-H24)*G24,IF(J$19&lt;I24,IF(J$19&gt;H24,(J$19-H24)*G24,0),0))</f>
        <v>14023.62</v>
      </c>
      <c r="L24" s="23">
        <f t="shared" si="15"/>
        <v>0.26</v>
      </c>
      <c r="M24" s="3">
        <f t="shared" si="15"/>
        <v>98041</v>
      </c>
      <c r="N24" s="3">
        <f t="shared" si="15"/>
        <v>151978</v>
      </c>
      <c r="O24" s="1">
        <f>IF(O$19&gt;=N24,(N24-M24)*L24,IF(O$19&lt;N24,IF(O$19&gt;M24,(O$19-M24)*L24,0),0))</f>
        <v>14023.62</v>
      </c>
      <c r="Q24" s="22">
        <f t="shared" si="16"/>
        <v>0.26</v>
      </c>
      <c r="R24" s="3">
        <f t="shared" si="16"/>
        <v>98041</v>
      </c>
      <c r="S24" s="3">
        <f t="shared" si="16"/>
        <v>151978</v>
      </c>
      <c r="T24" s="1">
        <f>IF(T$19&gt;=S24,(S24-R24)*Q24,IF(T$19&lt;S24,IF(T$19&gt;R24,(T$19-R24)*Q24,0),0))</f>
        <v>14023.62</v>
      </c>
      <c r="V24" s="22">
        <f t="shared" si="17"/>
        <v>0.26</v>
      </c>
      <c r="W24" s="3">
        <f t="shared" si="17"/>
        <v>98041</v>
      </c>
      <c r="X24" s="3">
        <f t="shared" si="17"/>
        <v>151978</v>
      </c>
      <c r="Y24" s="1">
        <f>IF(Y$19&gt;=X24,(X24-W24)*V24,IF(Y$19&lt;X24,IF(Y$19&gt;W24,(Y$19-W24)*V24,0),0))</f>
        <v>0</v>
      </c>
      <c r="Z24" s="1"/>
      <c r="AA24" s="22">
        <f t="shared" si="18"/>
        <v>0.26</v>
      </c>
      <c r="AB24" s="3">
        <f t="shared" si="18"/>
        <v>98041</v>
      </c>
      <c r="AC24" s="3">
        <f t="shared" si="18"/>
        <v>151978</v>
      </c>
      <c r="AD24" s="1">
        <f>IF(AD$19&gt;=AC24,(AC24-AB24)*AA24,IF(AD$19&lt;AC24,IF(AD$19&gt;AB24,(AD$19-AB24)*AA24,0),0))</f>
        <v>0</v>
      </c>
      <c r="AE24" s="1"/>
      <c r="AF24" s="1"/>
      <c r="AH24" s="22">
        <f>$G$24</f>
        <v>0.26</v>
      </c>
      <c r="AI24" s="3">
        <f>$H$24</f>
        <v>98041</v>
      </c>
      <c r="AJ24" s="3">
        <f>$I$24</f>
        <v>151978</v>
      </c>
      <c r="AK24" s="1">
        <f>IF(AK$19&gt;=AJ24,(AJ24-AI24)*AH24,IF(AK$19&lt;AJ24,IF(AK$19&gt;AI24,(AK$19-AI24)*AH24,0),0))</f>
        <v>0</v>
      </c>
      <c r="AL24" s="94"/>
      <c r="AM24" s="22">
        <f>$G$24</f>
        <v>0.26</v>
      </c>
      <c r="AN24" s="3">
        <f>$H$24</f>
        <v>98041</v>
      </c>
      <c r="AO24" s="3">
        <f>$I$24</f>
        <v>151978</v>
      </c>
      <c r="AP24" s="1">
        <f>IF(AP$19&gt;=AO24,(AO24-AN24)*AM24,IF(AP$19&lt;AO24,IF(AP$19&gt;AN24,(AP$19-AN24)*AM24,0),0))</f>
        <v>0</v>
      </c>
      <c r="AQ24" s="94"/>
      <c r="AR24" s="1"/>
      <c r="AS24" s="94"/>
      <c r="AT24" s="22">
        <f>$G$24</f>
        <v>0.26</v>
      </c>
      <c r="AU24" s="3">
        <f>$H$24</f>
        <v>98041</v>
      </c>
      <c r="AV24" s="3">
        <f>$I$24</f>
        <v>151978</v>
      </c>
      <c r="AW24" s="1">
        <f>IF(AW$19&gt;=AV24,(AV24-AU24)*AT24,IF(AW$19&lt;AV24,IF(AW$19&gt;AU24,(AW$19-AU24)*AT24,0),0))</f>
        <v>0</v>
      </c>
      <c r="AX24" s="1"/>
      <c r="AY24" s="22">
        <f>$G$24</f>
        <v>0.26</v>
      </c>
      <c r="AZ24" s="3">
        <f>$H$24</f>
        <v>98041</v>
      </c>
      <c r="BA24" s="3">
        <f>$I$24</f>
        <v>151978</v>
      </c>
      <c r="BB24" s="1">
        <f>IF(BB$19&gt;=BA24,(BA24-AZ24)*AY24,IF(BB$19&lt;BA24,IF(BB$19&gt;AZ24,(BB$19-AZ24)*AY24,0),0))</f>
        <v>0</v>
      </c>
      <c r="BC24" s="1"/>
      <c r="BD24" s="1"/>
      <c r="BE24" s="1"/>
      <c r="BF24" s="22">
        <f>$G$24</f>
        <v>0.26</v>
      </c>
      <c r="BG24" s="3">
        <f>$H$24</f>
        <v>98041</v>
      </c>
      <c r="BH24" s="3">
        <f>$I$24</f>
        <v>151978</v>
      </c>
      <c r="BI24" s="1">
        <f>IF(BI$19&gt;=BH24,(BH24-BG24)*BF24,IF(BI$19&lt;BH24,IF(BI$19&gt;BG24,(BI$19-BG24)*BF24,0),0))</f>
        <v>0</v>
      </c>
      <c r="BJ24" s="1"/>
      <c r="BK24" s="22">
        <f>$G$24</f>
        <v>0.26</v>
      </c>
      <c r="BL24" s="3">
        <f>$H$24</f>
        <v>98041</v>
      </c>
      <c r="BM24" s="3">
        <f>$I$24</f>
        <v>151978</v>
      </c>
      <c r="BN24" s="1">
        <f>IF(BN$19&gt;=BM24,(BM24-BL24)*BK24,IF(BN$19&lt;BM24,IF(BN$19&gt;BL24,(BN$19-BL24)*BK24,0),0))</f>
        <v>0</v>
      </c>
      <c r="BO24" s="1"/>
      <c r="BP24" s="1"/>
      <c r="BR24" s="22">
        <f>$G$24</f>
        <v>0.26</v>
      </c>
      <c r="BS24" s="3">
        <f>$H$24</f>
        <v>98041</v>
      </c>
      <c r="BT24" s="3">
        <f>$I$24</f>
        <v>151978</v>
      </c>
      <c r="BU24" s="1">
        <f>IF(BU$19&gt;=BT24,(BT24-BS24)*BR24,IF(BU$19&lt;BT24,IF(BU$19&gt;BS24,(BU$19-BS24)*BR24,0),0))</f>
        <v>0</v>
      </c>
      <c r="BV24" s="1"/>
      <c r="BW24" s="22">
        <f>$G$24</f>
        <v>0.26</v>
      </c>
      <c r="BX24" s="3">
        <f>$H$24</f>
        <v>98041</v>
      </c>
      <c r="BY24" s="3">
        <f>$I$24</f>
        <v>151978</v>
      </c>
      <c r="BZ24" s="1">
        <f>IF(BZ$19&gt;=BY24,(BY24-BX24)*BW24,IF(BZ$19&lt;BY24,IF(BZ$19&gt;BX24,(BZ$19-BX24)*BW24,0),0))</f>
        <v>0</v>
      </c>
      <c r="CA24" s="1"/>
      <c r="CB24" s="1"/>
      <c r="CC24" s="1"/>
      <c r="CD24" s="22">
        <f>$G$24</f>
        <v>0.26</v>
      </c>
      <c r="CE24" s="3">
        <f>$H$24</f>
        <v>98041</v>
      </c>
      <c r="CF24" s="3">
        <f>$I$24</f>
        <v>151978</v>
      </c>
      <c r="CG24" s="1">
        <f>IF(CG$19&gt;=CF24,(CF24-CE24)*CD24,IF(CG$19&lt;CF24,IF(CG$19&gt;CE24,(CG$19-CE24)*CD24,0),0))</f>
        <v>0</v>
      </c>
      <c r="CH24" s="1"/>
      <c r="CI24" s="22">
        <f>$G$24</f>
        <v>0.26</v>
      </c>
      <c r="CJ24" s="3">
        <f>$H$24</f>
        <v>98041</v>
      </c>
      <c r="CK24" s="3">
        <f>$I$24</f>
        <v>151978</v>
      </c>
      <c r="CL24" s="1">
        <f>IF(CL$19&gt;=CK24,(CK24-CJ24)*CI24,IF(CL$19&lt;CK24,IF(CL$19&gt;CJ24,(CL$19-CJ24)*CI24,0),0))</f>
        <v>0</v>
      </c>
      <c r="CM24" s="1"/>
      <c r="CN24" s="1"/>
      <c r="CO24" s="1"/>
      <c r="CP24" s="22">
        <f>$G$24</f>
        <v>0.26</v>
      </c>
      <c r="CQ24" s="3">
        <f>$H$24</f>
        <v>98041</v>
      </c>
      <c r="CR24" s="3">
        <f>$I$24</f>
        <v>151978</v>
      </c>
      <c r="CS24" s="1">
        <f>IF(CS$19&gt;=CR24,(CR24-CQ24)*CP24,IF(CS$19&lt;CR24,IF(CS$19&gt;CQ24,(CS$19-CQ24)*CP24,0),0))</f>
        <v>0</v>
      </c>
      <c r="CT24" s="1"/>
      <c r="CU24" s="22">
        <f>$G$24</f>
        <v>0.26</v>
      </c>
      <c r="CV24" s="3">
        <f>$H$24</f>
        <v>98041</v>
      </c>
      <c r="CW24" s="3">
        <f>$I$24</f>
        <v>151978</v>
      </c>
      <c r="CX24" s="1">
        <f>IF(CX$19&gt;=CW24,(CW24-CV24)*CU24,IF(CX$19&lt;CW24,IF(CX$19&gt;CV24,(CX$19-CV24)*CU24,0),0))</f>
        <v>0</v>
      </c>
      <c r="CY24" s="1"/>
      <c r="CZ24" s="1"/>
      <c r="DA24" s="1"/>
    </row>
    <row r="25" spans="1:105" x14ac:dyDescent="0.25">
      <c r="B25" s="22">
        <v>0.28999999999999998</v>
      </c>
      <c r="C25" s="3">
        <v>135055</v>
      </c>
      <c r="D25" s="3"/>
      <c r="E25" s="1">
        <f>IF(E$19&gt;C25,(E$19-C25)*B25,0)</f>
        <v>0</v>
      </c>
      <c r="G25" s="23">
        <v>0.28999999999999998</v>
      </c>
      <c r="H25" s="3">
        <f>+I24+1</f>
        <v>151979</v>
      </c>
      <c r="I25" s="3">
        <v>216511</v>
      </c>
      <c r="J25" s="1">
        <f>IF(J$19&gt;=I25,(I25-H25)*G25,IF(J$19&lt;I25,IF(J$19&gt;H25,(J$19-H25)*G25,0),0))</f>
        <v>18714.28</v>
      </c>
      <c r="L25" s="23">
        <f t="shared" si="15"/>
        <v>0.28999999999999998</v>
      </c>
      <c r="M25" s="3">
        <f t="shared" si="15"/>
        <v>151979</v>
      </c>
      <c r="N25" s="3">
        <f t="shared" si="15"/>
        <v>216511</v>
      </c>
      <c r="O25" s="1">
        <f>IF(O$19&gt;=N25,(N25-M25)*L25,IF(O$19&lt;N25,IF(O$19&gt;M25,(O$19-M25)*L25,0),0))</f>
        <v>18714.28</v>
      </c>
      <c r="Q25" s="22">
        <f t="shared" si="16"/>
        <v>0.28999999999999998</v>
      </c>
      <c r="R25" s="3">
        <f t="shared" si="16"/>
        <v>151979</v>
      </c>
      <c r="S25" s="3">
        <f t="shared" si="16"/>
        <v>216511</v>
      </c>
      <c r="T25" s="1">
        <f>IF(T$19&gt;=S25,(S25-R25)*Q25,IF(T$19&lt;S25,IF(T$19&gt;R25,(T$19-R25)*Q25,0),0))</f>
        <v>18714.28</v>
      </c>
      <c r="V25" s="22">
        <f t="shared" si="17"/>
        <v>0.28999999999999998</v>
      </c>
      <c r="W25" s="3">
        <f t="shared" si="17"/>
        <v>151979</v>
      </c>
      <c r="X25" s="3">
        <f t="shared" si="17"/>
        <v>216511</v>
      </c>
      <c r="Y25" s="1">
        <f>IF(Y$19&gt;=X25,(X25-W25)*V25,IF(Y$19&lt;X25,IF(Y$19&gt;W25,(Y$19-W25)*V25,0),0))</f>
        <v>0</v>
      </c>
      <c r="Z25" s="1"/>
      <c r="AA25" s="22">
        <f t="shared" si="18"/>
        <v>0.28999999999999998</v>
      </c>
      <c r="AB25" s="3">
        <f t="shared" si="18"/>
        <v>151979</v>
      </c>
      <c r="AC25" s="3">
        <f t="shared" si="18"/>
        <v>216511</v>
      </c>
      <c r="AD25" s="1">
        <f>IF(AD$19&gt;=AC25,(AC25-AB25)*AA25,IF(AD$19&lt;AC25,IF(AD$19&gt;AB25,(AD$19-AB25)*AA25,0),0))</f>
        <v>0</v>
      </c>
      <c r="AE25" s="1"/>
      <c r="AF25" s="1"/>
      <c r="AH25" s="22">
        <f>$G$25</f>
        <v>0.28999999999999998</v>
      </c>
      <c r="AI25" s="3">
        <f>$H$25</f>
        <v>151979</v>
      </c>
      <c r="AJ25" s="3">
        <f>$I$25</f>
        <v>216511</v>
      </c>
      <c r="AK25" s="1">
        <f>IF(AK$19&gt;=AJ25,(AJ25-AI25)*AH25,IF(AK$19&lt;AJ25,IF(AK$19&gt;AI25,(AK$19-AI25)*AH25,0),0))</f>
        <v>0</v>
      </c>
      <c r="AL25" s="94"/>
      <c r="AM25" s="22">
        <f>$G$25</f>
        <v>0.28999999999999998</v>
      </c>
      <c r="AN25" s="3">
        <f>$H$25</f>
        <v>151979</v>
      </c>
      <c r="AO25" s="3">
        <f>$I$25</f>
        <v>216511</v>
      </c>
      <c r="AP25" s="1">
        <f>IF(AP$19&gt;=AO25,(AO25-AN25)*AM25,IF(AP$19&lt;AO25,IF(AP$19&gt;AN25,(AP$19-AN25)*AM25,0),0))</f>
        <v>0</v>
      </c>
      <c r="AQ25" s="94"/>
      <c r="AR25" s="1"/>
      <c r="AS25" s="94"/>
      <c r="AT25" s="22">
        <f>$G$25</f>
        <v>0.28999999999999998</v>
      </c>
      <c r="AU25" s="3">
        <f>$H$25</f>
        <v>151979</v>
      </c>
      <c r="AV25" s="3">
        <f>$I$25</f>
        <v>216511</v>
      </c>
      <c r="AW25" s="1">
        <f>IF(AW$19&gt;=AV25,(AV25-AU25)*AT25,IF(AW$19&lt;AV25,IF(AW$19&gt;AU25,(AW$19-AU25)*AT25,0),0))</f>
        <v>0</v>
      </c>
      <c r="AX25" s="1"/>
      <c r="AY25" s="22">
        <f>$G$25</f>
        <v>0.28999999999999998</v>
      </c>
      <c r="AZ25" s="3">
        <f>$H$25</f>
        <v>151979</v>
      </c>
      <c r="BA25" s="3">
        <f>$I$25</f>
        <v>216511</v>
      </c>
      <c r="BB25" s="1">
        <f>IF(BB$19&gt;=BA25,(BA25-AZ25)*AY25,IF(BB$19&lt;BA25,IF(BB$19&gt;AZ25,(BB$19-AZ25)*AY25,0),0))</f>
        <v>0</v>
      </c>
      <c r="BC25" s="1"/>
      <c r="BD25" s="1"/>
      <c r="BE25" s="1"/>
      <c r="BF25" s="22">
        <f>$G$25</f>
        <v>0.28999999999999998</v>
      </c>
      <c r="BG25" s="3">
        <f>$H$25</f>
        <v>151979</v>
      </c>
      <c r="BH25" s="3">
        <f>$I$25</f>
        <v>216511</v>
      </c>
      <c r="BI25" s="1">
        <f>IF(BI$19&gt;=BH25,(BH25-BG25)*BF25,IF(BI$19&lt;BH25,IF(BI$19&gt;BG25,(BI$19-BG25)*BF25,0),0))</f>
        <v>0</v>
      </c>
      <c r="BJ25" s="1"/>
      <c r="BK25" s="22">
        <f>$G$25</f>
        <v>0.28999999999999998</v>
      </c>
      <c r="BL25" s="3">
        <f>$H$25</f>
        <v>151979</v>
      </c>
      <c r="BM25" s="3">
        <f>$I$25</f>
        <v>216511</v>
      </c>
      <c r="BN25" s="1">
        <f>IF(BN$19&gt;=BM25,(BM25-BL25)*BK25,IF(BN$19&lt;BM25,IF(BN$19&gt;BL25,(BN$19-BL25)*BK25,0),0))</f>
        <v>0</v>
      </c>
      <c r="BO25" s="1"/>
      <c r="BP25" s="1"/>
      <c r="BR25" s="22">
        <f>$G$25</f>
        <v>0.28999999999999998</v>
      </c>
      <c r="BS25" s="3">
        <f>$H$25</f>
        <v>151979</v>
      </c>
      <c r="BT25" s="3">
        <f>$I$25</f>
        <v>216511</v>
      </c>
      <c r="BU25" s="1">
        <f>IF(BU$19&gt;=BT25,(BT25-BS25)*BR25,IF(BU$19&lt;BT25,IF(BU$19&gt;BS25,(BU$19-BS25)*BR25,0),0))</f>
        <v>0</v>
      </c>
      <c r="BV25" s="1"/>
      <c r="BW25" s="22">
        <f>$G$25</f>
        <v>0.28999999999999998</v>
      </c>
      <c r="BX25" s="3">
        <f>$H$25</f>
        <v>151979</v>
      </c>
      <c r="BY25" s="3">
        <f>$I$25</f>
        <v>216511</v>
      </c>
      <c r="BZ25" s="1">
        <f>IF(BZ$19&gt;=BY25,(BY25-BX25)*BW25,IF(BZ$19&lt;BY25,IF(BZ$19&gt;BX25,(BZ$19-BX25)*BW25,0),0))</f>
        <v>0</v>
      </c>
      <c r="CA25" s="1"/>
      <c r="CB25" s="1"/>
      <c r="CC25" s="1"/>
      <c r="CD25" s="22">
        <f>$G$25</f>
        <v>0.28999999999999998</v>
      </c>
      <c r="CE25" s="3">
        <f>$H$25</f>
        <v>151979</v>
      </c>
      <c r="CF25" s="3">
        <f>$I$25</f>
        <v>216511</v>
      </c>
      <c r="CG25" s="1">
        <f>IF(CG$19&gt;=CF25,(CF25-CE25)*CD25,IF(CG$19&lt;CF25,IF(CG$19&gt;CE25,(CG$19-CE25)*CD25,0),0))</f>
        <v>0</v>
      </c>
      <c r="CH25" s="1"/>
      <c r="CI25" s="22">
        <f>$G$25</f>
        <v>0.28999999999999998</v>
      </c>
      <c r="CJ25" s="3">
        <f>$H$25</f>
        <v>151979</v>
      </c>
      <c r="CK25" s="3">
        <f>$I$25</f>
        <v>216511</v>
      </c>
      <c r="CL25" s="1">
        <f>IF(CL$19&gt;=CK25,(CK25-CJ25)*CI25,IF(CL$19&lt;CK25,IF(CL$19&gt;CJ25,(CL$19-CJ25)*CI25,0),0))</f>
        <v>0</v>
      </c>
      <c r="CM25" s="1"/>
      <c r="CN25" s="1"/>
      <c r="CO25" s="1"/>
      <c r="CP25" s="22">
        <f>$G$25</f>
        <v>0.28999999999999998</v>
      </c>
      <c r="CQ25" s="3">
        <f>$H$25</f>
        <v>151979</v>
      </c>
      <c r="CR25" s="3">
        <f>$I$25</f>
        <v>216511</v>
      </c>
      <c r="CS25" s="1">
        <f>IF(CS$19&gt;=CR25,(CR25-CQ25)*CP25,IF(CS$19&lt;CR25,IF(CS$19&gt;CQ25,(CS$19-CQ25)*CP25,0),0))</f>
        <v>0</v>
      </c>
      <c r="CT25" s="1"/>
      <c r="CU25" s="22">
        <f>$G$25</f>
        <v>0.28999999999999998</v>
      </c>
      <c r="CV25" s="3">
        <f>$H$25</f>
        <v>151979</v>
      </c>
      <c r="CW25" s="3">
        <f>$I$25</f>
        <v>216511</v>
      </c>
      <c r="CX25" s="1">
        <f>IF(CX$19&gt;=CW25,(CW25-CV25)*CU25,IF(CX$19&lt;CW25,IF(CX$19&gt;CV25,(CX$19-CV25)*CU25,0),0))</f>
        <v>0</v>
      </c>
      <c r="CY25" s="1"/>
      <c r="CZ25" s="1"/>
      <c r="DA25" s="1"/>
    </row>
    <row r="26" spans="1:105" x14ac:dyDescent="0.25">
      <c r="B26" s="22"/>
      <c r="C26" s="3"/>
      <c r="D26" s="3"/>
      <c r="E26" s="1"/>
      <c r="G26" s="23">
        <v>0.33</v>
      </c>
      <c r="H26" s="3">
        <f>+I25+1</f>
        <v>216512</v>
      </c>
      <c r="I26" s="3"/>
      <c r="J26" s="1">
        <f>IF(J$19&gt;=H26,(J$19-H26)*G26,0)</f>
        <v>95910.540000000008</v>
      </c>
      <c r="L26" s="23">
        <f t="shared" si="15"/>
        <v>0.33</v>
      </c>
      <c r="M26" s="3">
        <f t="shared" si="15"/>
        <v>216512</v>
      </c>
      <c r="N26" s="3">
        <f t="shared" si="15"/>
        <v>0</v>
      </c>
      <c r="O26" s="1">
        <f>IF(O$19&gt;=M26,(O$19-M26)*L26,0)</f>
        <v>102741.54000000001</v>
      </c>
      <c r="Q26" s="22">
        <f t="shared" si="16"/>
        <v>0.33</v>
      </c>
      <c r="R26" s="3">
        <f t="shared" si="16"/>
        <v>216512</v>
      </c>
      <c r="S26" s="3">
        <f t="shared" si="16"/>
        <v>0</v>
      </c>
      <c r="T26" s="1">
        <f>IF(T$19&gt;=R26,(T$19-R26)*Q26,0)</f>
        <v>93551.040000000008</v>
      </c>
      <c r="V26" s="22">
        <f t="shared" si="17"/>
        <v>0.33</v>
      </c>
      <c r="W26" s="3">
        <f t="shared" si="17"/>
        <v>216512</v>
      </c>
      <c r="X26" s="3">
        <f t="shared" si="17"/>
        <v>0</v>
      </c>
      <c r="Y26" s="1">
        <f>IF(Y$19&gt;=W26,(Y$19-W26)*V26,0)</f>
        <v>0</v>
      </c>
      <c r="Z26" s="1"/>
      <c r="AA26" s="22">
        <f t="shared" si="18"/>
        <v>0.33</v>
      </c>
      <c r="AB26" s="3">
        <f t="shared" si="18"/>
        <v>216512</v>
      </c>
      <c r="AC26" s="3">
        <f t="shared" si="18"/>
        <v>0</v>
      </c>
      <c r="AD26" s="1">
        <f>IF(AD$19&gt;=AB26,(AD$19-AB26)*AA26,0)</f>
        <v>0</v>
      </c>
      <c r="AE26" s="1"/>
      <c r="AF26" s="1"/>
      <c r="AH26" s="22">
        <f>$G$26</f>
        <v>0.33</v>
      </c>
      <c r="AI26" s="3">
        <f>$H$26</f>
        <v>216512</v>
      </c>
      <c r="AJ26" s="3">
        <f>$I$26</f>
        <v>0</v>
      </c>
      <c r="AK26" s="1">
        <f>IF(AK$19&gt;=AI26,(AK$19-AI26)*AH26,0)</f>
        <v>0</v>
      </c>
      <c r="AL26" s="94"/>
      <c r="AM26" s="22">
        <f>$G$26</f>
        <v>0.33</v>
      </c>
      <c r="AN26" s="3">
        <f>$H$26</f>
        <v>216512</v>
      </c>
      <c r="AO26" s="3">
        <f>$I$26</f>
        <v>0</v>
      </c>
      <c r="AP26" s="1">
        <f>IF(AP$19&gt;=AN26,(AP$19-AN26)*AM26,0)</f>
        <v>0</v>
      </c>
      <c r="AQ26" s="94"/>
      <c r="AR26" s="1"/>
      <c r="AS26" s="94"/>
      <c r="AT26" s="22">
        <f>$G$26</f>
        <v>0.33</v>
      </c>
      <c r="AU26" s="3">
        <f>$H$26</f>
        <v>216512</v>
      </c>
      <c r="AV26" s="3">
        <f>$I$26</f>
        <v>0</v>
      </c>
      <c r="AW26" s="1">
        <f>IF(AW$19&gt;=AU26,(AW$19-AU26)*AT26,0)</f>
        <v>0</v>
      </c>
      <c r="AX26" s="1"/>
      <c r="AY26" s="22">
        <f>$G$26</f>
        <v>0.33</v>
      </c>
      <c r="AZ26" s="3">
        <f>$H$26</f>
        <v>216512</v>
      </c>
      <c r="BA26" s="3">
        <f>$I$26</f>
        <v>0</v>
      </c>
      <c r="BB26" s="1">
        <f>IF(BB$19&gt;=AZ26,(BB$19-AZ26)*AY26,0)</f>
        <v>0</v>
      </c>
      <c r="BC26" s="1"/>
      <c r="BD26" s="1"/>
      <c r="BE26" s="1"/>
      <c r="BF26" s="22">
        <f>$G$26</f>
        <v>0.33</v>
      </c>
      <c r="BG26" s="3">
        <f>$H$26</f>
        <v>216512</v>
      </c>
      <c r="BH26" s="3">
        <f>$I$26</f>
        <v>0</v>
      </c>
      <c r="BI26" s="1">
        <f>IF(BI$19&gt;=BG26,(BI$19-BG26)*BF26,0)</f>
        <v>0</v>
      </c>
      <c r="BJ26" s="1"/>
      <c r="BK26" s="22">
        <f>$G$26</f>
        <v>0.33</v>
      </c>
      <c r="BL26" s="3">
        <f>$H$26</f>
        <v>216512</v>
      </c>
      <c r="BM26" s="3">
        <f>$I$26</f>
        <v>0</v>
      </c>
      <c r="BN26" s="1">
        <f>IF(BN$19&gt;=BL26,(BN$19-BL26)*BK26,0)</f>
        <v>0</v>
      </c>
      <c r="BO26" s="1"/>
      <c r="BP26" s="1"/>
      <c r="BR26" s="22">
        <f>$G$26</f>
        <v>0.33</v>
      </c>
      <c r="BS26" s="3">
        <f>$H$26</f>
        <v>216512</v>
      </c>
      <c r="BT26" s="3">
        <f>$I$26</f>
        <v>0</v>
      </c>
      <c r="BU26" s="1">
        <f>IF(BU$19&gt;=BS26,(BU$19-BS26)*BR26,0)</f>
        <v>0</v>
      </c>
      <c r="BV26" s="1"/>
      <c r="BW26" s="22">
        <f>$G$26</f>
        <v>0.33</v>
      </c>
      <c r="BX26" s="3">
        <f>$H$26</f>
        <v>216512</v>
      </c>
      <c r="BY26" s="3">
        <f>$I$26</f>
        <v>0</v>
      </c>
      <c r="BZ26" s="1">
        <f>IF(BZ$19&gt;=BX26,(BZ$19-BX26)*BW26,0)</f>
        <v>0</v>
      </c>
      <c r="CA26" s="1"/>
      <c r="CB26" s="1"/>
      <c r="CC26" s="1"/>
      <c r="CD26" s="22">
        <f>$G$26</f>
        <v>0.33</v>
      </c>
      <c r="CE26" s="3">
        <f>$H$26</f>
        <v>216512</v>
      </c>
      <c r="CF26" s="3">
        <f>$I$26</f>
        <v>0</v>
      </c>
      <c r="CG26" s="1">
        <f>IF(CG$19&gt;=CE26,(CG$19-CE26)*CD26,0)</f>
        <v>0</v>
      </c>
      <c r="CH26" s="1"/>
      <c r="CI26" s="22">
        <f>$G$26</f>
        <v>0.33</v>
      </c>
      <c r="CJ26" s="3">
        <f>$H$26</f>
        <v>216512</v>
      </c>
      <c r="CK26" s="3">
        <f>$I$26</f>
        <v>0</v>
      </c>
      <c r="CL26" s="1">
        <f>IF(CL$19&gt;=CJ26,(CL$19-CJ26)*CI26,0)</f>
        <v>0</v>
      </c>
      <c r="CM26" s="1"/>
      <c r="CN26" s="1"/>
      <c r="CO26" s="1"/>
      <c r="CP26" s="22">
        <f>$G$26</f>
        <v>0.33</v>
      </c>
      <c r="CQ26" s="3">
        <f>$H$26</f>
        <v>216512</v>
      </c>
      <c r="CR26" s="3">
        <f>$I$26</f>
        <v>0</v>
      </c>
      <c r="CS26" s="1">
        <f>IF(CS$19&gt;=CQ26,(CS$19-CQ26)*CP26,0)</f>
        <v>0</v>
      </c>
      <c r="CT26" s="1"/>
      <c r="CU26" s="22">
        <f>$G$26</f>
        <v>0.33</v>
      </c>
      <c r="CV26" s="3">
        <f>$H$26</f>
        <v>216512</v>
      </c>
      <c r="CW26" s="3">
        <f>$I$26</f>
        <v>0</v>
      </c>
      <c r="CX26" s="1">
        <f>IF(CX$19&gt;=CV26,(CX$19-CV26)*CU26,0)</f>
        <v>0</v>
      </c>
      <c r="CY26" s="1"/>
      <c r="CZ26" s="1"/>
      <c r="DA26" s="1"/>
    </row>
    <row r="27" spans="1:105" x14ac:dyDescent="0.25">
      <c r="C27" s="3"/>
      <c r="D27" s="3"/>
      <c r="E27" s="1"/>
      <c r="H27" s="3"/>
      <c r="I27" s="3"/>
      <c r="J27" s="1"/>
      <c r="M27" s="3"/>
      <c r="N27" s="3"/>
      <c r="O27" s="1"/>
      <c r="R27" s="3"/>
      <c r="S27" s="3"/>
      <c r="T27" s="1"/>
      <c r="W27" s="3"/>
      <c r="X27" s="3"/>
      <c r="Y27" s="1"/>
      <c r="Z27" s="1"/>
      <c r="AB27" s="3"/>
      <c r="AC27" s="3"/>
      <c r="AD27" s="1"/>
      <c r="AE27" s="1"/>
      <c r="AF27" s="1"/>
      <c r="AI27" s="3"/>
      <c r="AJ27" s="3"/>
      <c r="AK27" s="1"/>
      <c r="AL27" s="94"/>
      <c r="AN27" s="3"/>
      <c r="AO27" s="3"/>
      <c r="AP27" s="1"/>
      <c r="AQ27" s="94"/>
      <c r="AR27" s="1"/>
      <c r="AS27" s="94"/>
      <c r="AU27" s="3"/>
      <c r="AV27" s="3"/>
      <c r="AW27" s="1"/>
      <c r="AX27" s="1"/>
      <c r="AZ27" s="3"/>
      <c r="BA27" s="3"/>
      <c r="BB27" s="1"/>
      <c r="BC27" s="1"/>
      <c r="BD27" s="1"/>
      <c r="BE27" s="1"/>
      <c r="BG27" s="3"/>
      <c r="BH27" s="3"/>
      <c r="BI27" s="1"/>
      <c r="BJ27" s="1"/>
      <c r="BL27" s="3"/>
      <c r="BM27" s="3"/>
      <c r="BN27" s="1"/>
      <c r="BO27" s="1"/>
      <c r="BP27" s="1"/>
      <c r="BS27" s="3"/>
      <c r="BT27" s="3"/>
      <c r="BU27" s="1"/>
      <c r="BV27" s="1"/>
      <c r="BX27" s="3"/>
      <c r="BY27" s="3"/>
      <c r="BZ27" s="1"/>
      <c r="CA27" s="1"/>
      <c r="CB27" s="1"/>
      <c r="CC27" s="1"/>
      <c r="CE27" s="3"/>
      <c r="CF27" s="3"/>
      <c r="CG27" s="1"/>
      <c r="CH27" s="1"/>
      <c r="CJ27" s="3"/>
      <c r="CK27" s="3"/>
      <c r="CL27" s="1"/>
      <c r="CM27" s="1"/>
      <c r="CN27" s="1"/>
      <c r="CO27" s="1"/>
      <c r="CQ27" s="3"/>
      <c r="CR27" s="3"/>
      <c r="CS27" s="1"/>
      <c r="CT27" s="1"/>
      <c r="CV27" s="3"/>
      <c r="CW27" s="3"/>
      <c r="CX27" s="1"/>
      <c r="CY27" s="1"/>
      <c r="CZ27" s="1"/>
      <c r="DA27" s="1"/>
    </row>
    <row r="28" spans="1:105" x14ac:dyDescent="0.25">
      <c r="A28" s="21" t="s">
        <v>21</v>
      </c>
      <c r="B28" s="21"/>
      <c r="C28" s="4"/>
      <c r="D28" s="4"/>
      <c r="E28" s="2">
        <f>SUM(E22:E25)</f>
        <v>19837.13</v>
      </c>
      <c r="F28" s="21"/>
      <c r="G28" s="17"/>
      <c r="H28" s="18"/>
      <c r="I28" s="18"/>
      <c r="J28" s="41">
        <f>SUM(J22:J26)</f>
        <v>146050.33500000002</v>
      </c>
      <c r="L28" s="17"/>
      <c r="M28" s="18"/>
      <c r="N28" s="18"/>
      <c r="O28" s="41">
        <f>SUM(O22:O26)</f>
        <v>152881.33500000002</v>
      </c>
      <c r="Q28" s="17"/>
      <c r="R28" s="18"/>
      <c r="S28" s="18"/>
      <c r="T28" s="41">
        <f>SUM(T22:T26)</f>
        <v>143690.83500000002</v>
      </c>
      <c r="V28" s="17"/>
      <c r="W28" s="18"/>
      <c r="X28" s="18"/>
      <c r="Y28" s="41">
        <f>SUM(Y22:Y26)</f>
        <v>0</v>
      </c>
      <c r="Z28" s="50"/>
      <c r="AA28" s="17"/>
      <c r="AB28" s="18"/>
      <c r="AC28" s="18"/>
      <c r="AD28" s="41">
        <f>SUM(AD22:AD26)</f>
        <v>0</v>
      </c>
      <c r="AE28" s="50"/>
      <c r="AF28" s="50"/>
      <c r="AH28" s="17"/>
      <c r="AI28" s="18"/>
      <c r="AJ28" s="18"/>
      <c r="AK28" s="41">
        <f>SUM(AK22:AK26)</f>
        <v>0</v>
      </c>
      <c r="AL28" s="98"/>
      <c r="AM28" s="17"/>
      <c r="AN28" s="18"/>
      <c r="AO28" s="18"/>
      <c r="AP28" s="41">
        <f>SUM(AP22:AP26)</f>
        <v>0</v>
      </c>
      <c r="AQ28" s="98"/>
      <c r="AR28" s="50"/>
      <c r="AS28" s="98"/>
      <c r="AT28" s="17"/>
      <c r="AU28" s="18"/>
      <c r="AV28" s="18"/>
      <c r="AW28" s="41">
        <f>SUM(AW22:AW26)</f>
        <v>0</v>
      </c>
      <c r="AX28" s="50"/>
      <c r="AY28" s="17"/>
      <c r="AZ28" s="18"/>
      <c r="BA28" s="18"/>
      <c r="BB28" s="41">
        <f>SUM(BB22:BB26)</f>
        <v>0</v>
      </c>
      <c r="BC28" s="50"/>
      <c r="BD28" s="50"/>
      <c r="BE28" s="50"/>
      <c r="BF28" s="17"/>
      <c r="BG28" s="18"/>
      <c r="BH28" s="18"/>
      <c r="BI28" s="41">
        <f>SUM(BI22:BI26)</f>
        <v>0</v>
      </c>
      <c r="BJ28" s="50"/>
      <c r="BK28" s="17"/>
      <c r="BL28" s="18"/>
      <c r="BM28" s="18"/>
      <c r="BN28" s="41">
        <f>SUM(BN22:BN26)</f>
        <v>0</v>
      </c>
      <c r="BO28" s="50"/>
      <c r="BP28" s="50"/>
      <c r="BR28" s="17"/>
      <c r="BS28" s="18"/>
      <c r="BT28" s="18"/>
      <c r="BU28" s="41">
        <f>SUM(BU22:BU26)</f>
        <v>0</v>
      </c>
      <c r="BV28" s="50"/>
      <c r="BW28" s="17"/>
      <c r="BX28" s="18"/>
      <c r="BY28" s="18"/>
      <c r="BZ28" s="41">
        <f>SUM(BZ22:BZ26)</f>
        <v>0</v>
      </c>
      <c r="CA28" s="50"/>
      <c r="CB28" s="50"/>
      <c r="CC28" s="50"/>
      <c r="CD28" s="17"/>
      <c r="CE28" s="18"/>
      <c r="CF28" s="18"/>
      <c r="CG28" s="41">
        <f>SUM(CG22:CG26)</f>
        <v>0</v>
      </c>
      <c r="CH28" s="50"/>
      <c r="CI28" s="17"/>
      <c r="CJ28" s="18"/>
      <c r="CK28" s="18"/>
      <c r="CL28" s="41">
        <f>SUM(CL22:CL26)</f>
        <v>0</v>
      </c>
      <c r="CM28" s="50"/>
      <c r="CN28" s="50"/>
      <c r="CO28" s="50"/>
      <c r="CP28" s="17"/>
      <c r="CQ28" s="18"/>
      <c r="CR28" s="18"/>
      <c r="CS28" s="41">
        <f>SUM(CS22:CS26)</f>
        <v>0</v>
      </c>
      <c r="CT28" s="50"/>
      <c r="CU28" s="17"/>
      <c r="CV28" s="18"/>
      <c r="CW28" s="18"/>
      <c r="CX28" s="41">
        <f>SUM(CX22:CX26)</f>
        <v>0</v>
      </c>
      <c r="CY28" s="50"/>
      <c r="CZ28" s="50"/>
      <c r="DA28" s="50"/>
    </row>
    <row r="29" spans="1:105" x14ac:dyDescent="0.25">
      <c r="A29" s="21"/>
      <c r="B29" s="21"/>
      <c r="C29" s="4"/>
      <c r="D29" s="4"/>
      <c r="E29" s="2"/>
      <c r="F29" s="21"/>
      <c r="G29" s="21"/>
      <c r="H29" s="4"/>
      <c r="I29" s="4"/>
      <c r="J29" s="2"/>
      <c r="L29" s="21"/>
      <c r="M29" s="4"/>
      <c r="N29" s="4"/>
      <c r="O29" s="2"/>
      <c r="Q29" s="21"/>
      <c r="R29" s="4"/>
      <c r="S29" s="4"/>
      <c r="T29" s="2"/>
      <c r="V29" s="21"/>
      <c r="W29" s="4"/>
      <c r="X29" s="4"/>
      <c r="Y29" s="2"/>
      <c r="Z29" s="2"/>
      <c r="AA29" s="21"/>
      <c r="AB29" s="4"/>
      <c r="AC29" s="4"/>
      <c r="AD29" s="2"/>
      <c r="AE29" s="2"/>
      <c r="AF29" s="2"/>
      <c r="AH29" s="21"/>
      <c r="AI29" s="4"/>
      <c r="AJ29" s="4"/>
      <c r="AK29" s="2"/>
      <c r="AL29" s="14"/>
      <c r="AM29" s="21"/>
      <c r="AN29" s="4"/>
      <c r="AO29" s="4"/>
      <c r="AP29" s="2"/>
      <c r="AQ29" s="14"/>
      <c r="AR29" s="2"/>
      <c r="AS29" s="14"/>
      <c r="AT29" s="21"/>
      <c r="AU29" s="4"/>
      <c r="AV29" s="4"/>
      <c r="AW29" s="2"/>
      <c r="AX29" s="2"/>
      <c r="AY29" s="21"/>
      <c r="AZ29" s="4"/>
      <c r="BA29" s="4"/>
      <c r="BB29" s="2"/>
      <c r="BC29" s="2"/>
      <c r="BD29" s="2"/>
      <c r="BE29" s="2"/>
      <c r="BF29" s="21"/>
      <c r="BG29" s="4"/>
      <c r="BH29" s="4"/>
      <c r="BI29" s="2"/>
      <c r="BJ29" s="2"/>
      <c r="BK29" s="21"/>
      <c r="BL29" s="4"/>
      <c r="BM29" s="4"/>
      <c r="BN29" s="2"/>
      <c r="BO29" s="2"/>
      <c r="BP29" s="2"/>
      <c r="BR29" s="21"/>
      <c r="BS29" s="4"/>
      <c r="BT29" s="4"/>
      <c r="BU29" s="2"/>
      <c r="BV29" s="2"/>
      <c r="BW29" s="21"/>
      <c r="BX29" s="4"/>
      <c r="BY29" s="4"/>
      <c r="BZ29" s="2"/>
      <c r="CA29" s="2"/>
      <c r="CB29" s="2"/>
      <c r="CC29" s="2"/>
      <c r="CD29" s="21"/>
      <c r="CE29" s="4"/>
      <c r="CF29" s="4"/>
      <c r="CG29" s="2"/>
      <c r="CH29" s="2"/>
      <c r="CI29" s="21"/>
      <c r="CJ29" s="4"/>
      <c r="CK29" s="4"/>
      <c r="CL29" s="2"/>
      <c r="CM29" s="2"/>
      <c r="CN29" s="2"/>
      <c r="CO29" s="2"/>
      <c r="CP29" s="21"/>
      <c r="CQ29" s="4"/>
      <c r="CR29" s="4"/>
      <c r="CS29" s="2"/>
      <c r="CT29" s="2"/>
      <c r="CU29" s="21"/>
      <c r="CV29" s="4"/>
      <c r="CW29" s="4"/>
      <c r="CX29" s="2"/>
      <c r="CY29" s="2"/>
      <c r="CZ29" s="2"/>
      <c r="DA29" s="2"/>
    </row>
    <row r="30" spans="1:105" x14ac:dyDescent="0.25">
      <c r="A30" s="21" t="s">
        <v>4</v>
      </c>
      <c r="B30" s="21"/>
      <c r="C30" s="4"/>
      <c r="D30" s="4"/>
      <c r="E30" s="2"/>
      <c r="F30" s="21"/>
      <c r="G30" s="21"/>
      <c r="H30" s="4"/>
      <c r="I30" s="4"/>
      <c r="J30" s="2"/>
      <c r="L30" s="21"/>
      <c r="M30" s="4"/>
      <c r="N30" s="4"/>
      <c r="O30" s="2"/>
      <c r="Q30" s="21"/>
      <c r="R30" s="4"/>
      <c r="S30" s="4"/>
      <c r="T30" s="2"/>
      <c r="V30" s="21"/>
      <c r="W30" s="4"/>
      <c r="X30" s="4"/>
      <c r="Y30" s="2"/>
      <c r="Z30" s="2"/>
      <c r="AA30" s="21"/>
      <c r="AB30" s="4"/>
      <c r="AC30" s="4"/>
      <c r="AD30" s="2"/>
      <c r="AE30" s="2"/>
      <c r="AF30" s="2"/>
      <c r="AH30" s="21"/>
      <c r="AI30" s="4"/>
      <c r="AJ30" s="4"/>
      <c r="AK30" s="2"/>
      <c r="AL30" s="14"/>
      <c r="AM30" s="21"/>
      <c r="AN30" s="4"/>
      <c r="AO30" s="4"/>
      <c r="AP30" s="2"/>
      <c r="AQ30" s="14"/>
      <c r="AR30" s="2"/>
      <c r="AS30" s="14"/>
      <c r="AT30" s="21"/>
      <c r="AU30" s="4"/>
      <c r="AV30" s="4"/>
      <c r="AW30" s="2"/>
      <c r="AX30" s="2"/>
      <c r="AY30" s="21"/>
      <c r="AZ30" s="4"/>
      <c r="BA30" s="4"/>
      <c r="BB30" s="2"/>
      <c r="BC30" s="2"/>
      <c r="BD30" s="2"/>
      <c r="BE30" s="2"/>
      <c r="BF30" s="21"/>
      <c r="BG30" s="4"/>
      <c r="BH30" s="4"/>
      <c r="BI30" s="2"/>
      <c r="BJ30" s="2"/>
      <c r="BK30" s="21"/>
      <c r="BL30" s="4"/>
      <c r="BM30" s="4"/>
      <c r="BN30" s="2"/>
      <c r="BO30" s="2"/>
      <c r="BP30" s="2"/>
      <c r="BR30" s="21"/>
      <c r="BS30" s="4"/>
      <c r="BT30" s="4"/>
      <c r="BU30" s="2"/>
      <c r="BV30" s="2"/>
      <c r="BW30" s="21"/>
      <c r="BX30" s="4"/>
      <c r="BY30" s="4"/>
      <c r="BZ30" s="2"/>
      <c r="CA30" s="2"/>
      <c r="CB30" s="2"/>
      <c r="CC30" s="2"/>
      <c r="CD30" s="21"/>
      <c r="CE30" s="4"/>
      <c r="CF30" s="4"/>
      <c r="CG30" s="2"/>
      <c r="CH30" s="2"/>
      <c r="CI30" s="21"/>
      <c r="CJ30" s="4"/>
      <c r="CK30" s="4"/>
      <c r="CL30" s="2"/>
      <c r="CM30" s="2"/>
      <c r="CN30" s="2"/>
      <c r="CO30" s="2"/>
      <c r="CP30" s="21"/>
      <c r="CQ30" s="4"/>
      <c r="CR30" s="4"/>
      <c r="CS30" s="2"/>
      <c r="CT30" s="2"/>
      <c r="CU30" s="21"/>
      <c r="CV30" s="4"/>
      <c r="CW30" s="4"/>
      <c r="CX30" s="2"/>
      <c r="CY30" s="2"/>
      <c r="CZ30" s="2"/>
      <c r="DA30" s="2"/>
    </row>
    <row r="31" spans="1:105" x14ac:dyDescent="0.25">
      <c r="A31" s="6" t="s">
        <v>3</v>
      </c>
      <c r="B31" s="7">
        <v>0.15</v>
      </c>
      <c r="C31" s="13">
        <v>11038</v>
      </c>
      <c r="D31" s="13"/>
      <c r="E31" s="8">
        <f>-C31*B31</f>
        <v>-1655.7</v>
      </c>
      <c r="F31" s="21"/>
      <c r="G31" s="7">
        <v>0.15</v>
      </c>
      <c r="H31" s="13">
        <f>IF(J$19&gt;=H26,12421,IF(J$19&lt;H26,IF(J$19&gt;H25,12421+((J19-H25)*((13808-12421)/(H26-H25))),13808),13808))</f>
        <v>12421</v>
      </c>
      <c r="I31" s="13"/>
      <c r="J31" s="8">
        <f>-H31*G31</f>
        <v>-1863.1499999999999</v>
      </c>
      <c r="L31" s="7">
        <f t="shared" ref="L31:L33" si="19">G31</f>
        <v>0.15</v>
      </c>
      <c r="M31" s="13">
        <f>IF(O$19&gt;=M26,12421,IF(O$19&lt;M26,IF(O$19&gt;M25,12421+((O19-M25)*((13808-12421)/(M26-M25))),13808),13808))</f>
        <v>12421</v>
      </c>
      <c r="N31" s="13"/>
      <c r="O31" s="8">
        <f>-M31*L31</f>
        <v>-1863.1499999999999</v>
      </c>
      <c r="Q31" s="7">
        <f t="shared" ref="Q31:Q33" si="20">G31</f>
        <v>0.15</v>
      </c>
      <c r="R31" s="13">
        <f>IF(T$19&gt;=R26,12421,IF(T$19&lt;R26,IF(T$19&gt;R25,12421+((T19-R25)*((13808-12421)/(R26-R25))),13808),13808))</f>
        <v>12421</v>
      </c>
      <c r="S31" s="13"/>
      <c r="T31" s="8">
        <f>-R31*Q31</f>
        <v>-1863.1499999999999</v>
      </c>
      <c r="V31" s="7">
        <f t="shared" ref="V31:W32" si="21">G31</f>
        <v>0.15</v>
      </c>
      <c r="W31" s="13">
        <f>IF(Y$19&gt;=W26,12421,IF(Y$19&lt;W26,IF(Y$19&gt;W25,12421+((Y19-W25)*((13808-12421)/(W26-W25))),13808),13808))</f>
        <v>13808</v>
      </c>
      <c r="X31" s="13"/>
      <c r="Y31" s="8">
        <f>-W31*V31</f>
        <v>-2071.1999999999998</v>
      </c>
      <c r="Z31" s="8"/>
      <c r="AA31" s="7">
        <f>$G$31</f>
        <v>0.15</v>
      </c>
      <c r="AB31" s="13">
        <f>IF(AD$19&gt;=AB26,12421,IF(AD$19&lt;AB26,IF(AD$19&gt;AB25,12421+((AD19-AB25)*((13808-12421)/(AB26-AB25))),13808),13808))</f>
        <v>13808</v>
      </c>
      <c r="AC31" s="13"/>
      <c r="AD31" s="8">
        <f>-AB31*AA31</f>
        <v>-2071.1999999999998</v>
      </c>
      <c r="AE31" s="8"/>
      <c r="AF31" s="8"/>
      <c r="AH31" s="7">
        <f>$G$31</f>
        <v>0.15</v>
      </c>
      <c r="AI31" s="13">
        <f>IF(AK$19&gt;=AI26,12421,IF(AK$19&lt;AI26,IF(AK$19&gt;AI25,12421+((AK19-AI25)*((13808-12421)/(AI26-AI25))),13808),13808))</f>
        <v>13808</v>
      </c>
      <c r="AJ31" s="13"/>
      <c r="AK31" s="8">
        <f>-AI31*AH31</f>
        <v>-2071.1999999999998</v>
      </c>
      <c r="AL31" s="112"/>
      <c r="AM31" s="7">
        <f>$G$31</f>
        <v>0.15</v>
      </c>
      <c r="AN31" s="13">
        <f>IF(AP$19&gt;=AN26,12421,IF(AP$19&lt;AN26,IF(AP$19&gt;AN25,12421+((AP19-AN25)*((13808-12421)/(AN26-AN25))),13808),13808))</f>
        <v>13808</v>
      </c>
      <c r="AO31" s="13"/>
      <c r="AP31" s="8">
        <f>-AN31*AM31</f>
        <v>-2071.1999999999998</v>
      </c>
      <c r="AQ31" s="112"/>
      <c r="AR31" s="8"/>
      <c r="AS31" s="112"/>
      <c r="AT31" s="7">
        <f>$G$31</f>
        <v>0.15</v>
      </c>
      <c r="AU31" s="13">
        <f>IF(AW$19&gt;=AU26,12421,IF(AW$19&lt;AU26,IF(AW$19&gt;AU25,12421+((AW19-AU25)*((13808-12421)/(AU26-AU25))),13808),13808))</f>
        <v>13808</v>
      </c>
      <c r="AV31" s="13"/>
      <c r="AW31" s="8">
        <f>-AU31*AT31</f>
        <v>-2071.1999999999998</v>
      </c>
      <c r="AX31" s="8"/>
      <c r="AY31" s="7">
        <f>$G$31</f>
        <v>0.15</v>
      </c>
      <c r="AZ31" s="13">
        <f>IF(BB$19&gt;=AZ26,12421,IF(BB$19&lt;AZ26,IF(BB$19&gt;AZ25,12421+((BB19-AZ25)*((13808-12421)/(AZ26-AZ25))),13808),13808))</f>
        <v>13808</v>
      </c>
      <c r="BA31" s="13"/>
      <c r="BB31" s="8">
        <f>-AZ31*AY31</f>
        <v>-2071.1999999999998</v>
      </c>
      <c r="BC31" s="8"/>
      <c r="BD31" s="8"/>
      <c r="BE31" s="8"/>
      <c r="BF31" s="7">
        <f>$G$31</f>
        <v>0.15</v>
      </c>
      <c r="BG31" s="13">
        <f>IF(BI$19&gt;=BG26,12421,IF(BI$19&lt;BG26,IF(BI$19&gt;BG25,12421+((BI19-BG25)*((13808-12421)/(BG26-BG25))),13808),13808))</f>
        <v>13808</v>
      </c>
      <c r="BH31" s="13"/>
      <c r="BI31" s="8">
        <f>-BG31*BF31</f>
        <v>-2071.1999999999998</v>
      </c>
      <c r="BJ31" s="8"/>
      <c r="BK31" s="7">
        <f>$G$31</f>
        <v>0.15</v>
      </c>
      <c r="BL31" s="13">
        <f>IF(BN$19&gt;=BL26,12421,IF(BN$19&lt;BL26,IF(BN$19&gt;BL25,12421+((BN19-BL25)*((13808-12421)/(BL26-BL25))),13808),13808))</f>
        <v>13808</v>
      </c>
      <c r="BM31" s="13"/>
      <c r="BN31" s="8">
        <f>-BL31*BK31</f>
        <v>-2071.1999999999998</v>
      </c>
      <c r="BO31" s="8"/>
      <c r="BP31" s="8"/>
      <c r="BR31" s="7">
        <f>$G$31</f>
        <v>0.15</v>
      </c>
      <c r="BS31" s="13">
        <f>IF(BU$19&gt;=BS26,12421,IF(BU$19&lt;BS26,IF(BU$19&gt;BS25,12421+((BU19-BS25)*((13808-12421)/(BS26-BS25))),13808),13808))</f>
        <v>13808</v>
      </c>
      <c r="BT31" s="13"/>
      <c r="BU31" s="8">
        <f>-BS31*BR31</f>
        <v>-2071.1999999999998</v>
      </c>
      <c r="BV31" s="8"/>
      <c r="BW31" s="7">
        <f>$G$31</f>
        <v>0.15</v>
      </c>
      <c r="BX31" s="13">
        <f>IF(BZ$19&gt;=BX26,12421,IF(BZ$19&lt;BX26,IF(BZ$19&gt;BX25,12421+((BZ19-BX25)*((13808-12421)/(BX26-BX25))),13808),13808))</f>
        <v>13808</v>
      </c>
      <c r="BY31" s="13"/>
      <c r="BZ31" s="8">
        <f>-BX31*BW31</f>
        <v>-2071.1999999999998</v>
      </c>
      <c r="CA31" s="8"/>
      <c r="CB31" s="8"/>
      <c r="CC31" s="8"/>
      <c r="CD31" s="7">
        <f>$G$31</f>
        <v>0.15</v>
      </c>
      <c r="CE31" s="13">
        <f>IF(CG$19&gt;=CE26,12421,IF(CG$19&lt;CE26,IF(CG$19&gt;CE25,12421+((CG19-CE25)*((13808-12421)/(CE26-CE25))),13808),13808))</f>
        <v>13808</v>
      </c>
      <c r="CF31" s="13"/>
      <c r="CG31" s="8">
        <f>-CE31*CD31</f>
        <v>-2071.1999999999998</v>
      </c>
      <c r="CH31" s="8"/>
      <c r="CI31" s="7">
        <f>$G$31</f>
        <v>0.15</v>
      </c>
      <c r="CJ31" s="13">
        <f>IF(CL$19&gt;=CJ26,12421,IF(CL$19&lt;CJ26,IF(CL$19&gt;CJ25,12421+((CL19-CJ25)*((13808-12421)/(CJ26-CJ25))),13808),13808))</f>
        <v>13808</v>
      </c>
      <c r="CK31" s="13"/>
      <c r="CL31" s="8">
        <f>-CJ31*CI31</f>
        <v>-2071.1999999999998</v>
      </c>
      <c r="CM31" s="8"/>
      <c r="CN31" s="8"/>
      <c r="CO31" s="8"/>
      <c r="CP31" s="7">
        <f>$G$31</f>
        <v>0.15</v>
      </c>
      <c r="CQ31" s="13">
        <f>IF(CS$19&gt;=CQ26,12421,IF(CS$19&lt;CQ26,IF(CS$19&gt;CQ25,12421+((CS19-CQ25)*((13808-12421)/(CQ26-CQ25))),13808),13808))</f>
        <v>13808</v>
      </c>
      <c r="CR31" s="13"/>
      <c r="CS31" s="8">
        <f>-CQ31*CP31</f>
        <v>-2071.1999999999998</v>
      </c>
      <c r="CT31" s="8"/>
      <c r="CU31" s="7">
        <f>$G$31</f>
        <v>0.15</v>
      </c>
      <c r="CV31" s="13">
        <f>IF(CX$19&gt;=CV26,12421,IF(CX$19&lt;CV26,IF(CX$19&gt;CV25,12421+((CX19-CV25)*((13808-12421)/(CV26-CV25))),13808),13808))</f>
        <v>13808</v>
      </c>
      <c r="CW31" s="13"/>
      <c r="CX31" s="8">
        <f>-CV31*CU31</f>
        <v>-2071.1999999999998</v>
      </c>
      <c r="CY31" s="8"/>
      <c r="CZ31" s="8"/>
      <c r="DA31" s="8"/>
    </row>
    <row r="32" spans="1:105" x14ac:dyDescent="0.25">
      <c r="A32" s="6" t="s">
        <v>7</v>
      </c>
      <c r="B32" s="7">
        <v>0.15</v>
      </c>
      <c r="C32" s="13">
        <v>1117</v>
      </c>
      <c r="D32" s="13"/>
      <c r="E32" s="8">
        <f>-IF(E10&gt;1117,C32*B32,0)</f>
        <v>0</v>
      </c>
      <c r="F32" s="21"/>
      <c r="G32" s="7">
        <v>0.15</v>
      </c>
      <c r="H32" s="13">
        <v>1257</v>
      </c>
      <c r="I32" s="13"/>
      <c r="J32" s="8">
        <f>-IF(J10&gt;H32,H32*G32,0)</f>
        <v>0</v>
      </c>
      <c r="L32" s="7">
        <f t="shared" si="19"/>
        <v>0.15</v>
      </c>
      <c r="M32" s="13">
        <f t="shared" ref="M32" si="22">H32</f>
        <v>1257</v>
      </c>
      <c r="N32" s="13"/>
      <c r="O32" s="8">
        <f>-IF(O10&gt;1117,M32*L32,0)</f>
        <v>0</v>
      </c>
      <c r="Q32" s="7">
        <f t="shared" si="20"/>
        <v>0.15</v>
      </c>
      <c r="R32" s="13">
        <f t="shared" ref="R32" si="23">H32</f>
        <v>1257</v>
      </c>
      <c r="S32" s="13"/>
      <c r="T32" s="8">
        <f>-IF(T10&gt;1117,R32*Q32,0)</f>
        <v>-188.54999999999998</v>
      </c>
      <c r="V32" s="7">
        <f t="shared" si="21"/>
        <v>0.15</v>
      </c>
      <c r="W32" s="13">
        <f t="shared" si="21"/>
        <v>1257</v>
      </c>
      <c r="X32" s="13"/>
      <c r="Y32" s="8">
        <f>-IF(Y10&gt;1117,W32*V32,0)</f>
        <v>0</v>
      </c>
      <c r="Z32" s="8"/>
      <c r="AA32" s="7">
        <f>$G$32</f>
        <v>0.15</v>
      </c>
      <c r="AB32" s="13">
        <f>$H$32</f>
        <v>1257</v>
      </c>
      <c r="AC32" s="13"/>
      <c r="AD32" s="8">
        <f>-IF(AD10&gt;1117,AB32*AA32,0)</f>
        <v>0</v>
      </c>
      <c r="AE32" s="8"/>
      <c r="AF32" s="8"/>
      <c r="AH32" s="7">
        <f>$G$32</f>
        <v>0.15</v>
      </c>
      <c r="AI32" s="13">
        <f>$H$32</f>
        <v>1257</v>
      </c>
      <c r="AJ32" s="13"/>
      <c r="AK32" s="8">
        <f>-IF(AK10&gt;1117,AI32*AH32,0)</f>
        <v>0</v>
      </c>
      <c r="AL32" s="112"/>
      <c r="AM32" s="7">
        <f>$G$32</f>
        <v>0.15</v>
      </c>
      <c r="AN32" s="13">
        <f>$H$32</f>
        <v>1257</v>
      </c>
      <c r="AO32" s="13"/>
      <c r="AP32" s="8">
        <f>-IF(AP10&gt;1117,AN32*AM32,0)</f>
        <v>0</v>
      </c>
      <c r="AQ32" s="112"/>
      <c r="AR32" s="8"/>
      <c r="AS32" s="112"/>
      <c r="AT32" s="7">
        <f>$G$32</f>
        <v>0.15</v>
      </c>
      <c r="AU32" s="13">
        <f>$H$32</f>
        <v>1257</v>
      </c>
      <c r="AV32" s="13"/>
      <c r="AW32" s="8">
        <f>-IF(AW10&gt;1117,AU32*AT32,0)</f>
        <v>0</v>
      </c>
      <c r="AX32" s="8"/>
      <c r="AY32" s="7">
        <f>$G$32</f>
        <v>0.15</v>
      </c>
      <c r="AZ32" s="13">
        <f>$H$32</f>
        <v>1257</v>
      </c>
      <c r="BA32" s="13"/>
      <c r="BB32" s="8">
        <f>-IF(BB10&gt;1117,AZ32*AY32,0)</f>
        <v>0</v>
      </c>
      <c r="BC32" s="8"/>
      <c r="BD32" s="8"/>
      <c r="BE32" s="8"/>
      <c r="BF32" s="7">
        <f>$G$32</f>
        <v>0.15</v>
      </c>
      <c r="BG32" s="13">
        <f>$H$32</f>
        <v>1257</v>
      </c>
      <c r="BH32" s="13"/>
      <c r="BI32" s="8">
        <f>-IF(BI10&gt;1117,BG32*BF32,0)</f>
        <v>0</v>
      </c>
      <c r="BJ32" s="8"/>
      <c r="BK32" s="7">
        <f>$G$32</f>
        <v>0.15</v>
      </c>
      <c r="BL32" s="13">
        <f>$H$32</f>
        <v>1257</v>
      </c>
      <c r="BM32" s="13"/>
      <c r="BN32" s="8">
        <f>-IF(BN10&gt;1117,BL32*BK32,0)</f>
        <v>0</v>
      </c>
      <c r="BO32" s="8"/>
      <c r="BP32" s="8"/>
      <c r="BR32" s="7">
        <f>$G$32</f>
        <v>0.15</v>
      </c>
      <c r="BS32" s="13">
        <f>$H$32</f>
        <v>1257</v>
      </c>
      <c r="BT32" s="13"/>
      <c r="BU32" s="8">
        <f>-IF(BU10&gt;1117,BS32*BR32,0)</f>
        <v>0</v>
      </c>
      <c r="BV32" s="8"/>
      <c r="BW32" s="7">
        <f>$G$32</f>
        <v>0.15</v>
      </c>
      <c r="BX32" s="13">
        <f>$H$32</f>
        <v>1257</v>
      </c>
      <c r="BY32" s="13"/>
      <c r="BZ32" s="8">
        <f>-IF(BZ10&gt;1117,BX32*BW32,0)</f>
        <v>0</v>
      </c>
      <c r="CA32" s="8"/>
      <c r="CB32" s="8"/>
      <c r="CC32" s="8"/>
      <c r="CD32" s="7">
        <f>$G$32</f>
        <v>0.15</v>
      </c>
      <c r="CE32" s="13">
        <f>$H$32</f>
        <v>1257</v>
      </c>
      <c r="CF32" s="13"/>
      <c r="CG32" s="8">
        <f>-IF(CG10&gt;1117,CE32*CD32,0)</f>
        <v>0</v>
      </c>
      <c r="CH32" s="8"/>
      <c r="CI32" s="7">
        <f>$G$32</f>
        <v>0.15</v>
      </c>
      <c r="CJ32" s="13">
        <f>$H$32</f>
        <v>1257</v>
      </c>
      <c r="CK32" s="13"/>
      <c r="CL32" s="8">
        <f>-IF(CL10&gt;1117,CJ32*CI32,0)</f>
        <v>0</v>
      </c>
      <c r="CM32" s="8"/>
      <c r="CN32" s="8"/>
      <c r="CO32" s="8"/>
      <c r="CP32" s="7">
        <f>$G$32</f>
        <v>0.15</v>
      </c>
      <c r="CQ32" s="13">
        <f>$H$32</f>
        <v>1257</v>
      </c>
      <c r="CR32" s="13"/>
      <c r="CS32" s="8">
        <f>-IF(CS10&gt;1117,CQ32*CP32,0)</f>
        <v>0</v>
      </c>
      <c r="CT32" s="8"/>
      <c r="CU32" s="7">
        <f>$G$32</f>
        <v>0.15</v>
      </c>
      <c r="CV32" s="13">
        <f>$H$32</f>
        <v>1257</v>
      </c>
      <c r="CW32" s="13"/>
      <c r="CX32" s="8">
        <f>-IF(CX10&gt;1117,CV32*CU32,0)</f>
        <v>0</v>
      </c>
      <c r="CY32" s="8"/>
      <c r="CZ32" s="8"/>
      <c r="DA32" s="8"/>
    </row>
    <row r="33" spans="1:105" x14ac:dyDescent="0.25">
      <c r="A33" s="19" t="s">
        <v>29</v>
      </c>
      <c r="B33" s="9">
        <v>0.16666666999999999</v>
      </c>
      <c r="C33" s="13">
        <f>E14</f>
        <v>0</v>
      </c>
      <c r="D33" s="13"/>
      <c r="E33" s="8">
        <f>-C33*B33</f>
        <v>0</v>
      </c>
      <c r="F33" s="21"/>
      <c r="G33" s="195">
        <v>9.0301000000000006E-2</v>
      </c>
      <c r="H33" s="13">
        <f>SUM(J14:J15)</f>
        <v>0</v>
      </c>
      <c r="I33" s="13"/>
      <c r="J33" s="8">
        <f>-H33*G33</f>
        <v>0</v>
      </c>
      <c r="L33" s="195">
        <f t="shared" si="19"/>
        <v>9.0301000000000006E-2</v>
      </c>
      <c r="M33" s="13">
        <f>SUM(O14:O15)</f>
        <v>389850</v>
      </c>
      <c r="N33" s="13"/>
      <c r="O33" s="8">
        <f>-M33*L33</f>
        <v>-35203.844850000001</v>
      </c>
      <c r="Q33" s="195">
        <f t="shared" si="20"/>
        <v>9.0301000000000006E-2</v>
      </c>
      <c r="R33" s="13">
        <f>SUM(T14:T15)</f>
        <v>0</v>
      </c>
      <c r="S33" s="13"/>
      <c r="T33" s="8">
        <f>-R33*Q33</f>
        <v>0</v>
      </c>
      <c r="V33" s="195">
        <f>$G$33</f>
        <v>9.0301000000000006E-2</v>
      </c>
      <c r="W33" s="13">
        <f>SUM(Y14:Y15)</f>
        <v>0</v>
      </c>
      <c r="X33" s="13"/>
      <c r="Y33" s="8">
        <f>-W33*V33</f>
        <v>0</v>
      </c>
      <c r="Z33" s="8"/>
      <c r="AA33" s="195">
        <f>$G$33</f>
        <v>9.0301000000000006E-2</v>
      </c>
      <c r="AB33" s="13">
        <f>SUM(AD14:AD15)</f>
        <v>0</v>
      </c>
      <c r="AC33" s="13"/>
      <c r="AD33" s="8">
        <f>-AB33*AA33</f>
        <v>0</v>
      </c>
      <c r="AE33" s="8"/>
      <c r="AF33" s="8"/>
      <c r="AH33" s="195">
        <f>$G$33</f>
        <v>9.0301000000000006E-2</v>
      </c>
      <c r="AI33" s="13">
        <f>SUM(AK14:AK15)</f>
        <v>0</v>
      </c>
      <c r="AJ33" s="13"/>
      <c r="AK33" s="8">
        <f>-AI33*AH33</f>
        <v>0</v>
      </c>
      <c r="AL33" s="112"/>
      <c r="AM33" s="195">
        <f>$G$33</f>
        <v>9.0301000000000006E-2</v>
      </c>
      <c r="AN33" s="13">
        <f>SUM(AP14:AP15)</f>
        <v>0</v>
      </c>
      <c r="AO33" s="13"/>
      <c r="AP33" s="8">
        <f>-AN33*AM33</f>
        <v>0</v>
      </c>
      <c r="AQ33" s="112"/>
      <c r="AR33" s="8"/>
      <c r="AS33" s="112"/>
      <c r="AT33" s="195">
        <f>$G$33</f>
        <v>9.0301000000000006E-2</v>
      </c>
      <c r="AU33" s="13">
        <f>SUM(AW14:AW15)</f>
        <v>0</v>
      </c>
      <c r="AV33" s="13"/>
      <c r="AW33" s="8">
        <f>-AU33*AT33</f>
        <v>0</v>
      </c>
      <c r="AX33" s="8"/>
      <c r="AY33" s="195">
        <f>$G$33</f>
        <v>9.0301000000000006E-2</v>
      </c>
      <c r="AZ33" s="13">
        <f>SUM(BB14:BB15)</f>
        <v>0</v>
      </c>
      <c r="BA33" s="13"/>
      <c r="BB33" s="8">
        <f>-AZ33*AY33</f>
        <v>0</v>
      </c>
      <c r="BC33" s="8"/>
      <c r="BD33" s="8"/>
      <c r="BE33" s="8"/>
      <c r="BF33" s="195">
        <f>$G$33</f>
        <v>9.0301000000000006E-2</v>
      </c>
      <c r="BG33" s="13">
        <f>SUM(BI14:BI15)</f>
        <v>0</v>
      </c>
      <c r="BH33" s="13"/>
      <c r="BI33" s="8">
        <f>-BG33*BF33</f>
        <v>0</v>
      </c>
      <c r="BJ33" s="8"/>
      <c r="BK33" s="195">
        <f>$G$33</f>
        <v>9.0301000000000006E-2</v>
      </c>
      <c r="BL33" s="13">
        <f>SUM(BN14:BN15)</f>
        <v>0</v>
      </c>
      <c r="BM33" s="13"/>
      <c r="BN33" s="8">
        <f>-BL33*BK33</f>
        <v>0</v>
      </c>
      <c r="BO33" s="8"/>
      <c r="BP33" s="8"/>
      <c r="BR33" s="195">
        <f>$G$33</f>
        <v>9.0301000000000006E-2</v>
      </c>
      <c r="BS33" s="13">
        <f>SUM(BU14:BU15)</f>
        <v>0</v>
      </c>
      <c r="BT33" s="13"/>
      <c r="BU33" s="8">
        <f>-BS33*BR33</f>
        <v>0</v>
      </c>
      <c r="BV33" s="8"/>
      <c r="BW33" s="195">
        <f>$G$33</f>
        <v>9.0301000000000006E-2</v>
      </c>
      <c r="BX33" s="13">
        <f>SUM(BZ14:BZ15)</f>
        <v>0</v>
      </c>
      <c r="BY33" s="13"/>
      <c r="BZ33" s="8">
        <f>-BX33*BW33</f>
        <v>0</v>
      </c>
      <c r="CA33" s="8"/>
      <c r="CB33" s="8"/>
      <c r="CC33" s="8"/>
      <c r="CD33" s="195">
        <f>$G$33</f>
        <v>9.0301000000000006E-2</v>
      </c>
      <c r="CE33" s="13">
        <f>SUM(CG14:CG15)</f>
        <v>0</v>
      </c>
      <c r="CF33" s="13"/>
      <c r="CG33" s="8">
        <f>-CE33*CD33</f>
        <v>0</v>
      </c>
      <c r="CH33" s="8"/>
      <c r="CI33" s="195">
        <f>$G$33</f>
        <v>9.0301000000000006E-2</v>
      </c>
      <c r="CJ33" s="13">
        <f>SUM(CL14:CL15)</f>
        <v>0</v>
      </c>
      <c r="CK33" s="13"/>
      <c r="CL33" s="8">
        <f>-CJ33*CI33</f>
        <v>0</v>
      </c>
      <c r="CM33" s="8"/>
      <c r="CN33" s="8"/>
      <c r="CO33" s="8"/>
      <c r="CP33" s="195">
        <f>$G$33</f>
        <v>9.0301000000000006E-2</v>
      </c>
      <c r="CQ33" s="13">
        <f>SUM(CS14:CS15)</f>
        <v>0</v>
      </c>
      <c r="CR33" s="13"/>
      <c r="CS33" s="8">
        <f>-CQ33*CP33</f>
        <v>0</v>
      </c>
      <c r="CT33" s="8"/>
      <c r="CU33" s="195">
        <f>$G$33</f>
        <v>9.0301000000000006E-2</v>
      </c>
      <c r="CV33" s="13">
        <f>SUM(CX14:CX15)</f>
        <v>0</v>
      </c>
      <c r="CW33" s="13"/>
      <c r="CX33" s="8">
        <f>-CV33*CU33</f>
        <v>0</v>
      </c>
      <c r="CY33" s="8"/>
      <c r="CZ33" s="8"/>
      <c r="DA33" s="8"/>
    </row>
    <row r="34" spans="1:105" x14ac:dyDescent="0.25">
      <c r="A34" s="19" t="s">
        <v>14</v>
      </c>
      <c r="B34" s="9">
        <v>0.20730000000000001</v>
      </c>
      <c r="C34" s="13">
        <f>E12</f>
        <v>73500</v>
      </c>
      <c r="D34" s="13"/>
      <c r="E34" s="8">
        <f>-C34*B34</f>
        <v>-15236.550000000001</v>
      </c>
      <c r="F34" s="21"/>
      <c r="G34" s="9">
        <v>0.1502</v>
      </c>
      <c r="H34" s="13">
        <f>SUM(J12:J13)</f>
        <v>507150</v>
      </c>
      <c r="I34" s="13"/>
      <c r="J34" s="8">
        <f>-H34*G34</f>
        <v>-76173.929999999993</v>
      </c>
      <c r="L34" s="9">
        <v>0.1502</v>
      </c>
      <c r="M34" s="13">
        <f>SUM(O12:O13)</f>
        <v>138000</v>
      </c>
      <c r="N34" s="13"/>
      <c r="O34" s="8">
        <f>-M34*L34</f>
        <v>-20727.599999999999</v>
      </c>
      <c r="Q34" s="9">
        <v>0.1502</v>
      </c>
      <c r="R34" s="13">
        <f>SUM(T12:T13)</f>
        <v>0</v>
      </c>
      <c r="S34" s="13"/>
      <c r="T34" s="8">
        <f>-R34*Q34</f>
        <v>0</v>
      </c>
      <c r="V34" s="9">
        <v>0.1502</v>
      </c>
      <c r="W34" s="13">
        <f>SUM(Y12:Y13)</f>
        <v>0</v>
      </c>
      <c r="X34" s="13"/>
      <c r="Y34" s="8">
        <f>-W34*V34</f>
        <v>0</v>
      </c>
      <c r="Z34" s="8"/>
      <c r="AA34" s="9">
        <v>0.1502</v>
      </c>
      <c r="AB34" s="13">
        <f>SUM(AD12:AD13)</f>
        <v>0</v>
      </c>
      <c r="AC34" s="13"/>
      <c r="AD34" s="8">
        <f>-AB34*AA34</f>
        <v>0</v>
      </c>
      <c r="AE34" s="8"/>
      <c r="AF34" s="8"/>
      <c r="AH34" s="9">
        <v>0.1502</v>
      </c>
      <c r="AI34" s="13">
        <f>SUM(AK12:AK13)</f>
        <v>0</v>
      </c>
      <c r="AJ34" s="13"/>
      <c r="AK34" s="8">
        <f>-AI34*AH34</f>
        <v>0</v>
      </c>
      <c r="AL34" s="112"/>
      <c r="AM34" s="9">
        <v>0.1502</v>
      </c>
      <c r="AN34" s="13">
        <f>SUM(AP12:AP13)</f>
        <v>0</v>
      </c>
      <c r="AO34" s="13"/>
      <c r="AP34" s="8">
        <f>-AN34*AM34</f>
        <v>0</v>
      </c>
      <c r="AQ34" s="112"/>
      <c r="AR34" s="8"/>
      <c r="AS34" s="112"/>
      <c r="AT34" s="9">
        <v>0.1502</v>
      </c>
      <c r="AU34" s="13">
        <f>SUM(AW12:AW13)</f>
        <v>0</v>
      </c>
      <c r="AV34" s="13"/>
      <c r="AW34" s="8">
        <f>-AU34*AT34</f>
        <v>0</v>
      </c>
      <c r="AX34" s="8"/>
      <c r="AY34" s="9">
        <v>0.1502</v>
      </c>
      <c r="AZ34" s="13">
        <f>SUM(BB12:BB13)</f>
        <v>0</v>
      </c>
      <c r="BA34" s="13"/>
      <c r="BB34" s="8">
        <f>-AZ34*AY34</f>
        <v>0</v>
      </c>
      <c r="BC34" s="8"/>
      <c r="BD34" s="8"/>
      <c r="BE34" s="8"/>
      <c r="BF34" s="9">
        <v>0.1502</v>
      </c>
      <c r="BG34" s="13">
        <f>SUM(BI12:BI13)</f>
        <v>0</v>
      </c>
      <c r="BH34" s="13"/>
      <c r="BI34" s="8">
        <f>-BG34*BF34</f>
        <v>0</v>
      </c>
      <c r="BJ34" s="8"/>
      <c r="BK34" s="9">
        <v>0.1502</v>
      </c>
      <c r="BL34" s="13">
        <f>SUM(BN12:BN13)</f>
        <v>0</v>
      </c>
      <c r="BM34" s="13"/>
      <c r="BN34" s="8">
        <f>-BL34*BK34</f>
        <v>0</v>
      </c>
      <c r="BO34" s="8"/>
      <c r="BP34" s="8"/>
      <c r="BR34" s="9">
        <v>0.1502</v>
      </c>
      <c r="BS34" s="13">
        <f>SUM(BU12:BU13)</f>
        <v>0</v>
      </c>
      <c r="BT34" s="13"/>
      <c r="BU34" s="8">
        <f>-BS34*BR34</f>
        <v>0</v>
      </c>
      <c r="BV34" s="8"/>
      <c r="BW34" s="9">
        <v>0.1502</v>
      </c>
      <c r="BX34" s="13">
        <f>SUM(BZ12:BZ13)</f>
        <v>0</v>
      </c>
      <c r="BY34" s="13"/>
      <c r="BZ34" s="8">
        <f>-BX34*BW34</f>
        <v>0</v>
      </c>
      <c r="CA34" s="8"/>
      <c r="CB34" s="8"/>
      <c r="CC34" s="8"/>
      <c r="CD34" s="9">
        <v>0.1502</v>
      </c>
      <c r="CE34" s="13">
        <f>SUM(CG12:CG13)</f>
        <v>0</v>
      </c>
      <c r="CF34" s="13"/>
      <c r="CG34" s="8">
        <f>-CE34*CD34</f>
        <v>0</v>
      </c>
      <c r="CH34" s="8"/>
      <c r="CI34" s="9">
        <v>0.1502</v>
      </c>
      <c r="CJ34" s="13">
        <f>SUM(CL12:CL13)</f>
        <v>0</v>
      </c>
      <c r="CK34" s="13"/>
      <c r="CL34" s="8">
        <f>-CJ34*CI34</f>
        <v>0</v>
      </c>
      <c r="CM34" s="8"/>
      <c r="CN34" s="8"/>
      <c r="CO34" s="8"/>
      <c r="CP34" s="9">
        <v>0.1502</v>
      </c>
      <c r="CQ34" s="13">
        <f>SUM(CS12:CS13)</f>
        <v>0</v>
      </c>
      <c r="CR34" s="13"/>
      <c r="CS34" s="8">
        <f>-CQ34*CP34</f>
        <v>0</v>
      </c>
      <c r="CT34" s="8"/>
      <c r="CU34" s="9">
        <v>0.1502</v>
      </c>
      <c r="CV34" s="13">
        <f>SUM(CX12:CX13)</f>
        <v>0</v>
      </c>
      <c r="CW34" s="13"/>
      <c r="CX34" s="8">
        <f>-CV34*CU34</f>
        <v>0</v>
      </c>
      <c r="CY34" s="8"/>
      <c r="CZ34" s="8"/>
      <c r="DA34" s="8"/>
    </row>
    <row r="35" spans="1:105" x14ac:dyDescent="0.25">
      <c r="A35" s="19" t="s">
        <v>148</v>
      </c>
      <c r="B35" s="9"/>
      <c r="C35" s="13"/>
      <c r="D35" s="13"/>
      <c r="E35" s="8"/>
      <c r="F35" s="21"/>
      <c r="G35" s="9"/>
      <c r="H35" s="13"/>
      <c r="I35" s="13"/>
      <c r="J35" s="8"/>
      <c r="L35" s="9"/>
      <c r="M35" s="13"/>
      <c r="N35" s="13"/>
      <c r="O35" s="8"/>
      <c r="Q35" s="9"/>
      <c r="R35" s="13"/>
      <c r="S35" s="13"/>
      <c r="T35" s="8"/>
      <c r="V35" s="9"/>
      <c r="W35" s="13"/>
      <c r="X35" s="13"/>
      <c r="Y35" s="8">
        <f>-(+MIN(200,Input!G35)*0.15+0.33*(MIN(IF(Input!G35-200&lt;=0,0,Input!G35-200),IF($Y19&gt;200000,$Y19-200000,0)))+0.29*(IF(Input!G35-200-MIN(IF(Input!G35-200&lt;=0,0,Input!G35-200),IF($Y19&gt;200000,$Y19-200000,0))&gt;0,Input!G35-200-MIN(IF(Input!G35-200&lt;=0,0,Input!G35-200),IF($Y19&gt;200000,$Y19-200000,0)),0)))</f>
        <v>0</v>
      </c>
      <c r="Z35" s="8"/>
      <c r="AA35" s="9"/>
      <c r="AB35" s="13"/>
      <c r="AC35" s="13"/>
      <c r="AD35" s="8">
        <f>-(+MIN(200,Input!G35)*0.15+0.33*(MIN(IF(Input!G35-200&lt;=0,0,Input!G35-200),IF($AD19&gt;200000,$AD19-200000,0)))+0.29*(IF(Input!G35-200-MIN(IF(Input!G35-200&lt;=0,0,Input!G35-200),IF($AD19&gt;200000,$AD19-200000,0))&gt;0,Input!G35-200-MIN(IF(Input!G35-200&lt;=0,0,Input!G35-200),IF($AD19&gt;200000,$AD19-200000,0)),0)))</f>
        <v>0</v>
      </c>
      <c r="AE35" s="8"/>
      <c r="AF35" s="8"/>
      <c r="AH35" s="9"/>
      <c r="AI35" s="13"/>
      <c r="AJ35" s="13"/>
      <c r="AK35" s="8">
        <f>-(+MIN(200,Input!G35)*0.15+0.33*(MIN(IF(Input!G35-200&lt;=0,0,Input!G35-200),IF($AK19&gt;200000,$AK19-200000,0)))+0.29*(IF(Input!G35-200-MIN(IF(Input!G35-200&lt;=0,0,Input!G35-200),IF($AK19&gt;200000,$AK19-200000,0))&gt;0,Input!G35-200-MIN(IF(Input!G35-200&lt;=0,0,Input!G35-200),IF($AK19&gt;200000,$AK19-200000,0)),0)))</f>
        <v>0</v>
      </c>
      <c r="AL35" s="112"/>
      <c r="AM35" s="9"/>
      <c r="AN35" s="13"/>
      <c r="AO35" s="13"/>
      <c r="AP35" s="8">
        <f>-(+MIN(200,Input!G35)*0.15+0.33*(MIN(IF(Input!G35-200&lt;=0,0,Input!G35-200),IF($AP19&gt;200000,$AP19-200000,0)))+0.29*(IF(Input!G35-200-MIN(IF(Input!G35-200&lt;=0,0,Input!G35-200),IF($AP19&gt;200000,$AP19-200000,0))&gt;0,Input!G35-200-MIN(IF(Input!G35-200&lt;=0,0,Input!G35-200),IF($AP19&gt;200000,$AP19-200000,0)),0)))</f>
        <v>0</v>
      </c>
      <c r="AQ35" s="112"/>
      <c r="AR35" s="8"/>
      <c r="AS35" s="112"/>
      <c r="AT35" s="9"/>
      <c r="AU35" s="13"/>
      <c r="AV35" s="13"/>
      <c r="AW35" s="8">
        <f>-(+MIN(200,Input!H35)*0.15+0.33*(MIN(IF(Input!H35-200&lt;=0,0,Input!H35-200),IF($AW19&gt;200000,$AW19-200000,0)))+0.29*(IF(Input!H35-200-MIN(IF(Input!H35-200&lt;=0,0,Input!H35-200),IF($AW19&gt;200000,$AW19-200000,0))&gt;0,Input!H35-200-MIN(IF(Input!H35-200&lt;=0,0,Input!H35-200),IF($AW19&gt;200000,$AW19-200000,0)),0)))</f>
        <v>0</v>
      </c>
      <c r="AX35" s="8"/>
      <c r="AY35" s="9"/>
      <c r="AZ35" s="13"/>
      <c r="BA35" s="13"/>
      <c r="BB35" s="8">
        <f>-(+MIN(200,Input!H35)*0.15+0.33*(MIN(IF(Input!H35-200&lt;=0,0,Input!H35-200),IF($BB19&gt;200000,$BB19-200000,0)))+0.29*(IF(Input!H35-200-MIN(IF(Input!H35-200&lt;=0,0,Input!H35-200),IF($BB19&gt;200000,$BB19-200000,0))&gt;0,Input!H35-200-MIN(IF(Input!H35-200&lt;=0,0,Input!H35-200),IF($BB19&gt;200000,$BB19-200000,0)),0)))</f>
        <v>0</v>
      </c>
      <c r="BC35" s="8"/>
      <c r="BD35" s="8"/>
      <c r="BE35" s="8"/>
      <c r="BF35" s="9"/>
      <c r="BG35" s="13"/>
      <c r="BH35" s="13"/>
      <c r="BI35" s="8">
        <f>-(+MIN(200,Input!I35)*0.15+0.33*(MIN(IF(Input!I35-200&lt;=0,0,Input!I35-200),IF($BI19&gt;200000,$BI19-200000,0)))+0.29*(IF(Input!I35-200-MIN(IF(Input!I35-200&lt;=0,0,Input!I35-200),IF($BI19&gt;200000,$BI19-200000,0))&gt;0,Input!I35-200-MIN(IF(Input!I35-200&lt;=0,0,Input!I35-200),IF($BI19&gt;200000,$BI19-200000,0)),0)))</f>
        <v>0</v>
      </c>
      <c r="BJ35" s="8"/>
      <c r="BK35" s="9"/>
      <c r="BL35" s="13"/>
      <c r="BM35" s="13"/>
      <c r="BN35" s="8">
        <f>-(+MIN(200,Input!I35)*0.15+0.33*(MIN(IF(Input!I35-200&lt;=0,0,Input!I35-200),IF($BN19&gt;200000,$BN19-200000,0)))+0.29*(IF(Input!I35-200-MIN(IF(Input!I35-200&lt;=0,0,Input!I35-200),IF($BN19&gt;200000,$BN19-200000,0))&gt;0,Input!I35-200-MIN(IF(Input!I35-200&lt;=0,0,Input!I35-200),IF($BN19&gt;200000,$BN19-200000,0)),0)))</f>
        <v>0</v>
      </c>
      <c r="BO35" s="8"/>
      <c r="BP35" s="8"/>
      <c r="BR35" s="9"/>
      <c r="BS35" s="13"/>
      <c r="BT35" s="13"/>
      <c r="BU35" s="8">
        <f>-(+MIN(200,Input!J35)*0.15+0.33*(MIN(IF(Input!J35-200&lt;=0,0,Input!J35-200),IF($BU19&gt;200000,$BU19-200000,0)))+0.29*(IF(Input!J35-200-MIN(IF(Input!J35-200&lt;=0,0,Input!J35-200),IF($BU19&gt;200000,$BU19-200000,0))&gt;0,Input!J35-200-MIN(IF(Input!J35-200&lt;=0,0,Input!J35-200),IF($BU19&gt;200000,$BU19-200000,0)),0)))</f>
        <v>0</v>
      </c>
      <c r="BV35" s="8"/>
      <c r="BW35" s="9"/>
      <c r="BX35" s="13"/>
      <c r="BY35" s="13"/>
      <c r="BZ35" s="8">
        <f>-(+MIN(200,Input!J35)*0.15+0.33*(MIN(IF(Input!J35-200&lt;=0,0,Input!J35-200),IF($BZ19&gt;200000,$BZ19-200000,0)))+0.29*(IF(Input!J35-200-MIN(IF(Input!J35-200&lt;=0,0,Input!J35-200),IF($BZ19&gt;200000,$BZ19-200000,0))&gt;0,Input!J35-200-MIN(IF(Input!J35-200&lt;=0,0,Input!J35-200),IF($BZ19&gt;200000,$BZ19-200000,0)),0)))</f>
        <v>0</v>
      </c>
      <c r="CA35" s="8"/>
      <c r="CB35" s="8"/>
      <c r="CC35" s="8"/>
      <c r="CD35" s="9"/>
      <c r="CE35" s="13"/>
      <c r="CF35" s="13"/>
      <c r="CG35" s="8">
        <f>-(+MIN(200,Input!K35)*0.15+0.33*(MIN(IF(Input!K35-200&lt;=0,0,Input!K35-200),IF($CG19&gt;200000,$CG19-200000,0)))+0.29*(IF(Input!K35-200-MIN(IF(Input!K35-200&lt;=0,0,Input!K35-200),IF($CG19&gt;200000,$CG19-200000,0))&gt;0,Input!K35-200-MIN(IF(Input!K35-200&lt;=0,0,Input!K35-200),IF($CG19&gt;200000,$CG19-200000,0)),0)))</f>
        <v>0</v>
      </c>
      <c r="CH35" s="8"/>
      <c r="CI35" s="9"/>
      <c r="CJ35" s="13"/>
      <c r="CK35" s="13"/>
      <c r="CL35" s="8">
        <f>-(+MIN(200,Input!K35)*0.15+0.33*(MIN(IF(Input!K35-200&lt;=0,0,Input!K35-200),IF($CL19&gt;200000,$CL19-200000,0)))+0.29*(IF(Input!K35-200-MIN(IF(Input!K35-200&lt;=0,0,Input!K35-200),IF($CL19&gt;200000,$CL19-200000,0))&gt;0,Input!K35-200-MIN(IF(Input!K35-200&lt;=0,0,Input!K35-200),IF($CL19&gt;200000,$CL19-200000,0)),0)))</f>
        <v>0</v>
      </c>
      <c r="CM35" s="8"/>
      <c r="CN35" s="8"/>
      <c r="CO35" s="8"/>
      <c r="CP35" s="9"/>
      <c r="CQ35" s="13"/>
      <c r="CR35" s="13"/>
      <c r="CS35" s="8">
        <f>-(+MIN(200,Input!L35)*0.15+0.33*(MIN(IF(Input!L35-200&lt;=0,0,Input!L35-200),IF($CS19&gt;200000,$CS19-200000,0)))+0.29*(IF(Input!L35-200-MIN(IF(Input!L35-200&lt;=0,0,Input!L35-200),IF($CS19&gt;200000,$CS19-200000,0))&gt;0,Input!L35-200-MIN(IF(Input!L35-200&lt;=0,0,Input!L35-200),IF($CS19&gt;200000,$CS19-200000,0)),0)))</f>
        <v>0</v>
      </c>
      <c r="CT35" s="8"/>
      <c r="CU35" s="9"/>
      <c r="CV35" s="13"/>
      <c r="CW35" s="13"/>
      <c r="CX35" s="8">
        <f>-(+MIN(200,Input!L35)*0.15+0.33*(MIN(IF(Input!L35-200&lt;=0,0,Input!L35-200),IF($CX19&gt;200000,$CX19-200000,0)))+0.29*(IF(Input!L35-200-MIN(IF(Input!L35-200&lt;=0,0,Input!L35-200),IF($CX19&gt;200000,$CX19-200000,0))&gt;0,Input!L35-200-MIN(IF(Input!L35-200&lt;=0,0,Input!L35-200),IF($CX19&gt;200000,$CX19-200000,0)),0)))</f>
        <v>0</v>
      </c>
      <c r="CY35" s="8"/>
      <c r="CZ35" s="8"/>
      <c r="DA35" s="8"/>
    </row>
    <row r="36" spans="1:105" x14ac:dyDescent="0.25">
      <c r="A36" s="19" t="s">
        <v>149</v>
      </c>
      <c r="B36" s="9"/>
      <c r="C36" s="13"/>
      <c r="D36" s="13"/>
      <c r="E36" s="8"/>
      <c r="F36" s="21"/>
      <c r="G36" s="9"/>
      <c r="H36" s="13"/>
      <c r="I36" s="13"/>
      <c r="J36" s="8"/>
      <c r="L36" s="9"/>
      <c r="M36" s="13"/>
      <c r="N36" s="13"/>
      <c r="O36" s="8"/>
      <c r="Q36" s="9"/>
      <c r="R36" s="13"/>
      <c r="S36" s="13"/>
      <c r="T36" s="8"/>
      <c r="V36" s="9"/>
      <c r="W36" s="13"/>
      <c r="X36" s="13"/>
      <c r="Y36" s="8">
        <f>-Input!G36*0.15</f>
        <v>0</v>
      </c>
      <c r="Z36" s="8"/>
      <c r="AA36" s="9"/>
      <c r="AB36" s="13"/>
      <c r="AC36" s="13"/>
      <c r="AD36" s="8">
        <f>-Input!G36*0.15</f>
        <v>0</v>
      </c>
      <c r="AE36" s="8"/>
      <c r="AF36" s="8"/>
      <c r="AH36" s="9"/>
      <c r="AI36" s="13"/>
      <c r="AJ36" s="13"/>
      <c r="AK36" s="8">
        <f>-Input!G36*0.15</f>
        <v>0</v>
      </c>
      <c r="AL36" s="112"/>
      <c r="AM36" s="9"/>
      <c r="AN36" s="13"/>
      <c r="AO36" s="13"/>
      <c r="AP36" s="8">
        <f>-Input!G36*0.15</f>
        <v>0</v>
      </c>
      <c r="AQ36" s="112"/>
      <c r="AR36" s="8"/>
      <c r="AS36" s="112"/>
      <c r="AT36" s="9"/>
      <c r="AU36" s="13"/>
      <c r="AV36" s="13"/>
      <c r="AW36" s="8">
        <f>-Input!H36*0.15</f>
        <v>0</v>
      </c>
      <c r="AX36" s="8"/>
      <c r="AY36" s="9"/>
      <c r="AZ36" s="13"/>
      <c r="BA36" s="13"/>
      <c r="BB36" s="8">
        <f>-Input!H36*0.15</f>
        <v>0</v>
      </c>
      <c r="BC36" s="8"/>
      <c r="BD36" s="8"/>
      <c r="BE36" s="8"/>
      <c r="BF36" s="9"/>
      <c r="BG36" s="13"/>
      <c r="BH36" s="13"/>
      <c r="BI36" s="8">
        <f>-Input!I36*0.15</f>
        <v>0</v>
      </c>
      <c r="BJ36" s="8"/>
      <c r="BK36" s="9"/>
      <c r="BL36" s="13"/>
      <c r="BM36" s="13"/>
      <c r="BN36" s="8">
        <f>-Input!I36*0.15</f>
        <v>0</v>
      </c>
      <c r="BO36" s="8"/>
      <c r="BP36" s="8"/>
      <c r="BR36" s="9"/>
      <c r="BS36" s="13"/>
      <c r="BT36" s="13"/>
      <c r="BU36" s="8">
        <f>-Input!J36*0.15</f>
        <v>0</v>
      </c>
      <c r="BV36" s="8"/>
      <c r="BW36" s="9"/>
      <c r="BX36" s="13"/>
      <c r="BY36" s="13"/>
      <c r="BZ36" s="8">
        <f>-Input!J36*0.15</f>
        <v>0</v>
      </c>
      <c r="CA36" s="8"/>
      <c r="CB36" s="8"/>
      <c r="CC36" s="8"/>
      <c r="CD36" s="9"/>
      <c r="CE36" s="13"/>
      <c r="CF36" s="13"/>
      <c r="CG36" s="8">
        <f>-Input!K36*0.15</f>
        <v>0</v>
      </c>
      <c r="CH36" s="8"/>
      <c r="CI36" s="9"/>
      <c r="CJ36" s="13"/>
      <c r="CK36" s="13"/>
      <c r="CL36" s="8">
        <f>-Input!K36*0.15</f>
        <v>0</v>
      </c>
      <c r="CM36" s="8"/>
      <c r="CN36" s="8"/>
      <c r="CO36" s="8"/>
      <c r="CP36" s="9"/>
      <c r="CQ36" s="13"/>
      <c r="CR36" s="13"/>
      <c r="CS36" s="8">
        <f>-Input!L36*0.15</f>
        <v>0</v>
      </c>
      <c r="CT36" s="8"/>
      <c r="CU36" s="9"/>
      <c r="CV36" s="13"/>
      <c r="CW36" s="13"/>
      <c r="CX36" s="8">
        <f>-Input!L36*0.15</f>
        <v>0</v>
      </c>
      <c r="CY36" s="8"/>
      <c r="CZ36" s="8"/>
      <c r="DA36" s="8"/>
    </row>
    <row r="37" spans="1:105" x14ac:dyDescent="0.25">
      <c r="A37" s="19" t="s">
        <v>98</v>
      </c>
      <c r="B37" s="9"/>
      <c r="C37" s="13"/>
      <c r="D37" s="13"/>
      <c r="E37" s="8"/>
      <c r="F37" s="21"/>
      <c r="G37" s="9"/>
      <c r="H37" s="13"/>
      <c r="I37" s="13"/>
      <c r="J37" s="8"/>
      <c r="L37" s="9"/>
      <c r="M37" s="13"/>
      <c r="N37" s="13"/>
      <c r="O37" s="8"/>
      <c r="Q37" s="9"/>
      <c r="R37" s="13"/>
      <c r="S37" s="13"/>
      <c r="T37" s="8"/>
      <c r="V37" s="9"/>
      <c r="W37" s="13"/>
      <c r="X37" s="13"/>
      <c r="Y37" s="8">
        <f>-Input!G37*0.15</f>
        <v>0</v>
      </c>
      <c r="Z37" s="8"/>
      <c r="AA37" s="9"/>
      <c r="AB37" s="13"/>
      <c r="AC37" s="13"/>
      <c r="AD37" s="8">
        <f>-Input!G37*0.15</f>
        <v>0</v>
      </c>
      <c r="AE37" s="8"/>
      <c r="AF37" s="8"/>
      <c r="AH37" s="9"/>
      <c r="AI37" s="13"/>
      <c r="AJ37" s="13"/>
      <c r="AK37" s="8">
        <f>-Input!G37*0.15</f>
        <v>0</v>
      </c>
      <c r="AL37" s="112"/>
      <c r="AM37" s="9"/>
      <c r="AN37" s="13"/>
      <c r="AO37" s="13"/>
      <c r="AP37" s="8">
        <f>-Input!G37*0.15</f>
        <v>0</v>
      </c>
      <c r="AQ37" s="112"/>
      <c r="AR37" s="8"/>
      <c r="AS37" s="112"/>
      <c r="AT37" s="9"/>
      <c r="AU37" s="13"/>
      <c r="AV37" s="13"/>
      <c r="AW37" s="8">
        <f>-Input!H37*0.15</f>
        <v>0</v>
      </c>
      <c r="AX37" s="8"/>
      <c r="AY37" s="9"/>
      <c r="AZ37" s="13"/>
      <c r="BA37" s="13"/>
      <c r="BB37" s="8">
        <f>-Input!H37*0.15</f>
        <v>0</v>
      </c>
      <c r="BC37" s="8"/>
      <c r="BD37" s="8"/>
      <c r="BE37" s="8"/>
      <c r="BF37" s="9"/>
      <c r="BG37" s="13"/>
      <c r="BH37" s="13"/>
      <c r="BI37" s="8">
        <f>-Input!I37*0.15</f>
        <v>0</v>
      </c>
      <c r="BJ37" s="8"/>
      <c r="BK37" s="9"/>
      <c r="BL37" s="13"/>
      <c r="BM37" s="13"/>
      <c r="BN37" s="8">
        <f>-Input!I37*0.15</f>
        <v>0</v>
      </c>
      <c r="BO37" s="8"/>
      <c r="BP37" s="8"/>
      <c r="BR37" s="9"/>
      <c r="BS37" s="13"/>
      <c r="BT37" s="13"/>
      <c r="BU37" s="8">
        <f>-Input!J37*0.15</f>
        <v>0</v>
      </c>
      <c r="BV37" s="8"/>
      <c r="BW37" s="9"/>
      <c r="BX37" s="13"/>
      <c r="BY37" s="13"/>
      <c r="BZ37" s="8">
        <f>-Input!J37*0.15</f>
        <v>0</v>
      </c>
      <c r="CA37" s="8"/>
      <c r="CB37" s="8"/>
      <c r="CC37" s="8"/>
      <c r="CD37" s="9"/>
      <c r="CE37" s="13"/>
      <c r="CF37" s="13"/>
      <c r="CG37" s="8">
        <f>-Input!K37*0.15</f>
        <v>0</v>
      </c>
      <c r="CH37" s="8"/>
      <c r="CI37" s="9"/>
      <c r="CJ37" s="13"/>
      <c r="CK37" s="13"/>
      <c r="CL37" s="8">
        <f>-Input!K37*0.15</f>
        <v>0</v>
      </c>
      <c r="CM37" s="8"/>
      <c r="CN37" s="8"/>
      <c r="CO37" s="8"/>
      <c r="CP37" s="9"/>
      <c r="CQ37" s="13"/>
      <c r="CR37" s="13"/>
      <c r="CS37" s="8">
        <f>-Input!L37*0.15</f>
        <v>0</v>
      </c>
      <c r="CT37" s="8"/>
      <c r="CU37" s="9"/>
      <c r="CV37" s="13"/>
      <c r="CW37" s="13"/>
      <c r="CX37" s="8">
        <f>-Input!L37*0.15</f>
        <v>0</v>
      </c>
      <c r="CY37" s="8"/>
      <c r="CZ37" s="8"/>
      <c r="DA37" s="8"/>
    </row>
    <row r="38" spans="1:105" x14ac:dyDescent="0.25">
      <c r="A38" s="21" t="s">
        <v>5</v>
      </c>
      <c r="C38" s="3"/>
      <c r="D38" s="3"/>
      <c r="E38" s="11">
        <f>SUM(E31:E34)</f>
        <v>-16892.25</v>
      </c>
      <c r="H38" s="3"/>
      <c r="I38" s="3"/>
      <c r="J38" s="11">
        <f>SUM(J31:J34)</f>
        <v>-78037.079999999987</v>
      </c>
      <c r="M38" s="3"/>
      <c r="N38" s="3"/>
      <c r="O38" s="11">
        <f>SUM(O31:O34)</f>
        <v>-57794.594850000001</v>
      </c>
      <c r="R38" s="3"/>
      <c r="S38" s="3"/>
      <c r="T38" s="11">
        <f>SUM(T31:T34)</f>
        <v>-2051.6999999999998</v>
      </c>
      <c r="W38" s="3"/>
      <c r="X38" s="3"/>
      <c r="Y38" s="11">
        <f>SUM(Y31:Y37)</f>
        <v>-2071.1999999999998</v>
      </c>
      <c r="Z38" s="11"/>
      <c r="AB38" s="3"/>
      <c r="AC38" s="3"/>
      <c r="AD38" s="11">
        <f>SUM(AD31:AD37)</f>
        <v>-2071.1999999999998</v>
      </c>
      <c r="AE38" s="11"/>
      <c r="AF38" s="11"/>
      <c r="AI38" s="3"/>
      <c r="AJ38" s="3"/>
      <c r="AK38" s="11">
        <f>SUM(AK31:AK37)</f>
        <v>-2071.1999999999998</v>
      </c>
      <c r="AL38" s="113"/>
      <c r="AN38" s="3"/>
      <c r="AO38" s="3"/>
      <c r="AP38" s="11">
        <f>SUM(AP31:AP37)</f>
        <v>-2071.1999999999998</v>
      </c>
      <c r="AQ38" s="113"/>
      <c r="AR38" s="11"/>
      <c r="AS38" s="113"/>
      <c r="AU38" s="3"/>
      <c r="AV38" s="3"/>
      <c r="AW38" s="11">
        <f>SUM(AW31:AW37)</f>
        <v>-2071.1999999999998</v>
      </c>
      <c r="AX38" s="11"/>
      <c r="AZ38" s="3"/>
      <c r="BA38" s="3"/>
      <c r="BB38" s="11">
        <f>SUM(BB31:BB37)</f>
        <v>-2071.1999999999998</v>
      </c>
      <c r="BC38" s="11"/>
      <c r="BD38" s="11"/>
      <c r="BE38" s="11"/>
      <c r="BG38" s="3"/>
      <c r="BH38" s="3"/>
      <c r="BI38" s="11">
        <f>SUM(BI31:BI37)</f>
        <v>-2071.1999999999998</v>
      </c>
      <c r="BJ38" s="11"/>
      <c r="BL38" s="3"/>
      <c r="BM38" s="3"/>
      <c r="BN38" s="11">
        <f>SUM(BN31:BN37)</f>
        <v>-2071.1999999999998</v>
      </c>
      <c r="BO38" s="11"/>
      <c r="BP38" s="11"/>
      <c r="BS38" s="3"/>
      <c r="BT38" s="3"/>
      <c r="BU38" s="11">
        <f>SUM(BU31:BU37)</f>
        <v>-2071.1999999999998</v>
      </c>
      <c r="BV38" s="11"/>
      <c r="BX38" s="3"/>
      <c r="BY38" s="3"/>
      <c r="BZ38" s="11">
        <f>SUM(BZ31:BZ37)</f>
        <v>-2071.1999999999998</v>
      </c>
      <c r="CA38" s="11"/>
      <c r="CB38" s="11"/>
      <c r="CC38" s="11"/>
      <c r="CE38" s="3"/>
      <c r="CF38" s="3"/>
      <c r="CG38" s="11">
        <f>SUM(CG31:CG37)</f>
        <v>-2071.1999999999998</v>
      </c>
      <c r="CH38" s="11"/>
      <c r="CJ38" s="3"/>
      <c r="CK38" s="3"/>
      <c r="CL38" s="11">
        <f>SUM(CL31:CL37)</f>
        <v>-2071.1999999999998</v>
      </c>
      <c r="CM38" s="11"/>
      <c r="CN38" s="11"/>
      <c r="CO38" s="11"/>
      <c r="CQ38" s="3"/>
      <c r="CR38" s="3"/>
      <c r="CS38" s="11">
        <f>SUM(CS31:CS37)</f>
        <v>-2071.1999999999998</v>
      </c>
      <c r="CT38" s="11"/>
      <c r="CV38" s="3"/>
      <c r="CW38" s="3"/>
      <c r="CX38" s="11">
        <f>SUM(CX31:CX37)</f>
        <v>-2071.1999999999998</v>
      </c>
      <c r="CY38" s="11"/>
      <c r="CZ38" s="11"/>
      <c r="DA38" s="11"/>
    </row>
    <row r="39" spans="1:105" x14ac:dyDescent="0.25">
      <c r="C39" s="3"/>
      <c r="D39" s="3"/>
      <c r="H39" s="3"/>
      <c r="I39" s="3"/>
      <c r="M39" s="3"/>
      <c r="N39" s="3"/>
      <c r="R39" s="3"/>
      <c r="S39" s="3"/>
      <c r="W39" s="3"/>
      <c r="X39" s="3"/>
      <c r="AB39" s="3"/>
      <c r="AC39" s="3"/>
      <c r="AI39" s="3"/>
      <c r="AJ39" s="3"/>
      <c r="AN39" s="3"/>
      <c r="AO39" s="3"/>
      <c r="AU39" s="3"/>
      <c r="AV39" s="3"/>
      <c r="AZ39" s="3"/>
      <c r="BA39" s="3"/>
      <c r="BG39" s="3"/>
      <c r="BH39" s="3"/>
      <c r="BL39" s="3"/>
      <c r="BM39" s="3"/>
      <c r="BS39" s="3"/>
      <c r="BT39" s="3"/>
      <c r="BX39" s="3"/>
      <c r="BY39" s="3"/>
      <c r="CE39" s="3"/>
      <c r="CF39" s="3"/>
      <c r="CJ39" s="3"/>
      <c r="CK39" s="3"/>
      <c r="CQ39" s="3"/>
      <c r="CR39" s="3"/>
      <c r="CV39" s="3"/>
      <c r="CW39" s="3"/>
    </row>
    <row r="40" spans="1:105" x14ac:dyDescent="0.25">
      <c r="A40" s="21" t="s">
        <v>6</v>
      </c>
      <c r="B40" s="20"/>
      <c r="C40" s="29"/>
      <c r="D40" s="29"/>
      <c r="E40" s="30">
        <f>IF((E38+E28)&gt;0,(E38+E28),0)</f>
        <v>2944.880000000001</v>
      </c>
      <c r="G40" s="20"/>
      <c r="H40" s="29"/>
      <c r="I40" s="29"/>
      <c r="J40" s="30">
        <f>IF((J38+J28)&gt;0,(J38+J28),0)</f>
        <v>68013.255000000034</v>
      </c>
      <c r="L40" s="20"/>
      <c r="M40" s="29"/>
      <c r="N40" s="29"/>
      <c r="O40" s="30">
        <f>IF((O38+O28)&gt;0,(O38+O28),0)</f>
        <v>95086.740150000027</v>
      </c>
      <c r="Q40" s="20"/>
      <c r="R40" s="29"/>
      <c r="S40" s="29"/>
      <c r="T40" s="30">
        <f>IF((T38+T28)&gt;0,(T38+T28),0)</f>
        <v>141639.13500000001</v>
      </c>
      <c r="V40" s="20"/>
      <c r="W40" s="29"/>
      <c r="X40" s="29"/>
      <c r="Y40" s="30">
        <f>IF((Y38+Y28)&gt;0,(Y38+Y28),0)</f>
        <v>0</v>
      </c>
      <c r="Z40" s="107"/>
      <c r="AA40" s="20"/>
      <c r="AB40" s="29"/>
      <c r="AC40" s="29"/>
      <c r="AD40" s="30">
        <f>IF((AD38+AD28)&gt;0,(AD38+AD28),0)</f>
        <v>0</v>
      </c>
      <c r="AE40" s="107"/>
      <c r="AF40" s="107"/>
      <c r="AH40" s="20"/>
      <c r="AI40" s="29"/>
      <c r="AJ40" s="29"/>
      <c r="AK40" s="30">
        <f>IF((AK38+AK28)&gt;0,(AK38+AK28),0)</f>
        <v>0</v>
      </c>
      <c r="AL40" s="114"/>
      <c r="AM40" s="20"/>
      <c r="AN40" s="29"/>
      <c r="AO40" s="29"/>
      <c r="AP40" s="30">
        <f>IF((AP38+AP28)&gt;0,(AP38+AP28),0)</f>
        <v>0</v>
      </c>
      <c r="AQ40" s="114"/>
      <c r="AR40" s="107"/>
      <c r="AS40" s="114"/>
      <c r="AT40" s="20"/>
      <c r="AU40" s="29"/>
      <c r="AV40" s="29"/>
      <c r="AW40" s="30">
        <f>IF((AW38+AW28)&gt;0,(AW38+AW28),0)</f>
        <v>0</v>
      </c>
      <c r="AX40" s="107"/>
      <c r="AY40" s="20"/>
      <c r="AZ40" s="29"/>
      <c r="BA40" s="29"/>
      <c r="BB40" s="30">
        <f>IF((BB38+BB28)&gt;0,(BB38+BB28),0)</f>
        <v>0</v>
      </c>
      <c r="BC40" s="107"/>
      <c r="BD40" s="107"/>
      <c r="BE40" s="107"/>
      <c r="BF40" s="20"/>
      <c r="BG40" s="29"/>
      <c r="BH40" s="29"/>
      <c r="BI40" s="30">
        <f>IF((BI38+BI28)&gt;0,(BI38+BI28),0)</f>
        <v>0</v>
      </c>
      <c r="BJ40" s="107"/>
      <c r="BK40" s="20"/>
      <c r="BL40" s="29"/>
      <c r="BM40" s="29"/>
      <c r="BN40" s="30">
        <f>IF((BN38+BN28)&gt;0,(BN38+BN28),0)</f>
        <v>0</v>
      </c>
      <c r="BO40" s="107"/>
      <c r="BP40" s="107"/>
      <c r="BR40" s="20"/>
      <c r="BS40" s="29"/>
      <c r="BT40" s="29"/>
      <c r="BU40" s="30">
        <f>IF((BU38+BU28)&gt;0,(BU38+BU28),0)</f>
        <v>0</v>
      </c>
      <c r="BV40" s="107"/>
      <c r="BW40" s="20"/>
      <c r="BX40" s="29"/>
      <c r="BY40" s="29"/>
      <c r="BZ40" s="30">
        <f>IF((BZ38+BZ28)&gt;0,(BZ38+BZ28),0)</f>
        <v>0</v>
      </c>
      <c r="CA40" s="107"/>
      <c r="CB40" s="107"/>
      <c r="CC40" s="107"/>
      <c r="CD40" s="20"/>
      <c r="CE40" s="29"/>
      <c r="CF40" s="29"/>
      <c r="CG40" s="30">
        <f>IF((CG38+CG28)&gt;0,(CG38+CG28),0)</f>
        <v>0</v>
      </c>
      <c r="CH40" s="107"/>
      <c r="CI40" s="20"/>
      <c r="CJ40" s="29"/>
      <c r="CK40" s="29"/>
      <c r="CL40" s="30">
        <f>IF((CL38+CL28)&gt;0,(CL38+CL28),0)</f>
        <v>0</v>
      </c>
      <c r="CM40" s="107"/>
      <c r="CN40" s="107"/>
      <c r="CO40" s="107"/>
      <c r="CP40" s="20"/>
      <c r="CQ40" s="29"/>
      <c r="CR40" s="29"/>
      <c r="CS40" s="30">
        <f>IF((CS38+CS28)&gt;0,(CS38+CS28),0)</f>
        <v>0</v>
      </c>
      <c r="CT40" s="107"/>
      <c r="CU40" s="20"/>
      <c r="CV40" s="29"/>
      <c r="CW40" s="29"/>
      <c r="CX40" s="30">
        <f>IF((CX38+CX28)&gt;0,(CX38+CX28),0)</f>
        <v>0</v>
      </c>
      <c r="CY40" s="107"/>
      <c r="CZ40" s="107"/>
      <c r="DA40" s="107"/>
    </row>
    <row r="41" spans="1:105" x14ac:dyDescent="0.25">
      <c r="C41" s="3"/>
      <c r="D41" s="3"/>
      <c r="H41" s="3"/>
      <c r="I41" s="3"/>
      <c r="M41" s="3"/>
      <c r="N41" s="3"/>
      <c r="R41" s="3"/>
      <c r="S41" s="3"/>
      <c r="W41" s="3"/>
      <c r="X41" s="3"/>
      <c r="AB41" s="3"/>
      <c r="AC41" s="3"/>
      <c r="AI41" s="3"/>
      <c r="AJ41" s="3"/>
      <c r="AN41" s="3"/>
      <c r="AO41" s="3"/>
      <c r="AU41" s="3"/>
      <c r="AV41" s="3"/>
      <c r="AZ41" s="3"/>
      <c r="BA41" s="3"/>
      <c r="BG41" s="3"/>
      <c r="BH41" s="3"/>
      <c r="BL41" s="3"/>
      <c r="BM41" s="3"/>
      <c r="BS41" s="3"/>
      <c r="BT41" s="3"/>
      <c r="BX41" s="3"/>
      <c r="BY41" s="3"/>
      <c r="CE41" s="3"/>
      <c r="CF41" s="3"/>
      <c r="CJ41" s="3"/>
      <c r="CK41" s="3"/>
      <c r="CQ41" s="3"/>
      <c r="CR41" s="3"/>
      <c r="CV41" s="3"/>
      <c r="CW41" s="3"/>
    </row>
    <row r="42" spans="1:105" x14ac:dyDescent="0.25">
      <c r="A42" s="21" t="s">
        <v>2</v>
      </c>
      <c r="C42" s="3"/>
      <c r="D42" s="3"/>
      <c r="H42" s="3"/>
      <c r="I42" s="3"/>
      <c r="M42" s="3"/>
      <c r="N42" s="3"/>
      <c r="R42" s="3"/>
      <c r="S42" s="3"/>
      <c r="W42" s="3"/>
      <c r="X42" s="3"/>
      <c r="AB42" s="3"/>
      <c r="AC42" s="3"/>
      <c r="AI42" s="3"/>
      <c r="AJ42" s="3"/>
      <c r="AN42" s="3"/>
      <c r="AO42" s="3"/>
      <c r="AU42" s="3"/>
      <c r="AV42" s="3"/>
      <c r="AZ42" s="3"/>
      <c r="BA42" s="3"/>
      <c r="BG42" s="3"/>
      <c r="BH42" s="3"/>
      <c r="BL42" s="3"/>
      <c r="BM42" s="3"/>
      <c r="BS42" s="3"/>
      <c r="BT42" s="3"/>
      <c r="BX42" s="3"/>
      <c r="BY42" s="3"/>
      <c r="CE42" s="3"/>
      <c r="CF42" s="3"/>
      <c r="CJ42" s="3"/>
      <c r="CK42" s="3"/>
      <c r="CQ42" s="3"/>
      <c r="CR42" s="3"/>
      <c r="CV42" s="3"/>
      <c r="CW42" s="3"/>
    </row>
    <row r="43" spans="1:105" x14ac:dyDescent="0.25">
      <c r="B43" s="23">
        <v>5.0500000000000003E-2</v>
      </c>
      <c r="C43" s="3"/>
      <c r="D43" s="3">
        <v>39723</v>
      </c>
      <c r="E43" s="1">
        <f>IF(E$19&gt;D43,D43*B43,E$19*B43)</f>
        <v>2006.0115000000001</v>
      </c>
      <c r="G43" s="23">
        <v>5.0500000000000003E-2</v>
      </c>
      <c r="H43" s="3"/>
      <c r="I43" s="3">
        <v>45142</v>
      </c>
      <c r="J43" s="1">
        <f>IF(J$19&gt;=I43,I43*G43,J$19*G43)</f>
        <v>2279.6710000000003</v>
      </c>
      <c r="L43" s="23">
        <f t="shared" ref="L43:N47" si="24">G43</f>
        <v>5.0500000000000003E-2</v>
      </c>
      <c r="M43" s="3">
        <f t="shared" si="24"/>
        <v>0</v>
      </c>
      <c r="N43" s="3">
        <f t="shared" si="24"/>
        <v>45142</v>
      </c>
      <c r="O43" s="1">
        <f>IF(O$19&gt;=N43,N43*L43,O$19*L43)</f>
        <v>2279.6710000000003</v>
      </c>
      <c r="Q43" s="23">
        <f t="shared" ref="Q43:S47" si="25">G43</f>
        <v>5.0500000000000003E-2</v>
      </c>
      <c r="R43" s="3">
        <f t="shared" si="25"/>
        <v>0</v>
      </c>
      <c r="S43" s="3">
        <f t="shared" si="25"/>
        <v>45142</v>
      </c>
      <c r="T43" s="1">
        <f>IF(T$19&gt;=S43,S43*Q43,T$19*Q43)</f>
        <v>2279.6710000000003</v>
      </c>
      <c r="V43" s="23">
        <f t="shared" ref="V43:X47" si="26">G43</f>
        <v>5.0500000000000003E-2</v>
      </c>
      <c r="W43" s="3">
        <f t="shared" si="26"/>
        <v>0</v>
      </c>
      <c r="X43" s="3">
        <f t="shared" si="26"/>
        <v>45142</v>
      </c>
      <c r="Y43" s="1">
        <f>IF(Y$19&gt;=X43,X43*V43,Y$19*V43)</f>
        <v>0</v>
      </c>
      <c r="Z43" s="1"/>
      <c r="AA43" s="23">
        <f t="shared" ref="AA43:AC47" si="27">G43</f>
        <v>5.0500000000000003E-2</v>
      </c>
      <c r="AB43" s="3">
        <f t="shared" si="27"/>
        <v>0</v>
      </c>
      <c r="AC43" s="3">
        <f t="shared" si="27"/>
        <v>45142</v>
      </c>
      <c r="AD43" s="1">
        <f>IF(AD$19&gt;=AC43,AC43*AA43,AD$19*AA43)</f>
        <v>0</v>
      </c>
      <c r="AE43" s="1"/>
      <c r="AF43" s="1"/>
      <c r="AH43" s="23">
        <f>$G$43</f>
        <v>5.0500000000000003E-2</v>
      </c>
      <c r="AI43" s="3">
        <f>$H$43</f>
        <v>0</v>
      </c>
      <c r="AJ43" s="3">
        <f>$I$43</f>
        <v>45142</v>
      </c>
      <c r="AK43" s="1">
        <f>IF(AK$19&gt;=AJ43,AJ43*AH43,AK$19*AH43)</f>
        <v>0</v>
      </c>
      <c r="AL43" s="94"/>
      <c r="AM43" s="23">
        <f>$G$43</f>
        <v>5.0500000000000003E-2</v>
      </c>
      <c r="AN43" s="3">
        <f>$H$43</f>
        <v>0</v>
      </c>
      <c r="AO43" s="3">
        <f>$I$43</f>
        <v>45142</v>
      </c>
      <c r="AP43" s="1">
        <f>IF(AP$19&gt;=AO43,AO43*AM43,AP$19*AM43)</f>
        <v>0</v>
      </c>
      <c r="AQ43" s="94"/>
      <c r="AR43" s="1"/>
      <c r="AS43" s="94"/>
      <c r="AT43" s="23">
        <f>$G$43</f>
        <v>5.0500000000000003E-2</v>
      </c>
      <c r="AU43" s="3">
        <f>$H$43</f>
        <v>0</v>
      </c>
      <c r="AV43" s="3">
        <f>$I$43</f>
        <v>45142</v>
      </c>
      <c r="AW43" s="1">
        <f>IF(AW$19&gt;=AV43,AV43*AT43,AW$19*AT43)</f>
        <v>0</v>
      </c>
      <c r="AX43" s="1"/>
      <c r="AY43" s="23">
        <f>$G$43</f>
        <v>5.0500000000000003E-2</v>
      </c>
      <c r="AZ43" s="3">
        <f>$H$43</f>
        <v>0</v>
      </c>
      <c r="BA43" s="3">
        <f>$I$43</f>
        <v>45142</v>
      </c>
      <c r="BB43" s="1">
        <f>IF(BB$19&gt;=BA43,BA43*AY43,BB$19*AY43)</f>
        <v>0</v>
      </c>
      <c r="BC43" s="1"/>
      <c r="BD43" s="1"/>
      <c r="BE43" s="1"/>
      <c r="BF43" s="23">
        <f>$G$43</f>
        <v>5.0500000000000003E-2</v>
      </c>
      <c r="BG43" s="3">
        <f>$H$43</f>
        <v>0</v>
      </c>
      <c r="BH43" s="3">
        <f>$I$43</f>
        <v>45142</v>
      </c>
      <c r="BI43" s="1">
        <f>IF(BI$19&gt;=BH43,BH43*BF43,BI$19*BF43)</f>
        <v>0</v>
      </c>
      <c r="BJ43" s="1"/>
      <c r="BK43" s="23">
        <f>$G$43</f>
        <v>5.0500000000000003E-2</v>
      </c>
      <c r="BL43" s="3">
        <f>$H$43</f>
        <v>0</v>
      </c>
      <c r="BM43" s="3">
        <f>$I$43</f>
        <v>45142</v>
      </c>
      <c r="BN43" s="1">
        <f>IF(BN$19&gt;=BM43,BM43*BK43,BN$19*BK43)</f>
        <v>0</v>
      </c>
      <c r="BO43" s="1"/>
      <c r="BP43" s="1"/>
      <c r="BR43" s="23">
        <f>$G$43</f>
        <v>5.0500000000000003E-2</v>
      </c>
      <c r="BS43" s="3">
        <f>$H$43</f>
        <v>0</v>
      </c>
      <c r="BT43" s="3">
        <f>$I$43</f>
        <v>45142</v>
      </c>
      <c r="BU43" s="1">
        <f>IF(BU$19&gt;=BT43,BT43*BR43,BU$19*BR43)</f>
        <v>0</v>
      </c>
      <c r="BV43" s="1"/>
      <c r="BW43" s="23">
        <f>$G$43</f>
        <v>5.0500000000000003E-2</v>
      </c>
      <c r="BX43" s="3">
        <f>$H$43</f>
        <v>0</v>
      </c>
      <c r="BY43" s="3">
        <f>$I$43</f>
        <v>45142</v>
      </c>
      <c r="BZ43" s="1">
        <f>IF(BZ$19&gt;=BY43,BY43*BW43,BZ$19*BW43)</f>
        <v>0</v>
      </c>
      <c r="CA43" s="1"/>
      <c r="CB43" s="1"/>
      <c r="CC43" s="1"/>
      <c r="CD43" s="23">
        <f>$G$43</f>
        <v>5.0500000000000003E-2</v>
      </c>
      <c r="CE43" s="3">
        <f>$H$43</f>
        <v>0</v>
      </c>
      <c r="CF43" s="3">
        <f>$I$43</f>
        <v>45142</v>
      </c>
      <c r="CG43" s="1">
        <f>IF(CG$19&gt;=CF43,CF43*CD43,CG$19*CD43)</f>
        <v>0</v>
      </c>
      <c r="CH43" s="1"/>
      <c r="CI43" s="23">
        <f>$G$43</f>
        <v>5.0500000000000003E-2</v>
      </c>
      <c r="CJ43" s="3">
        <f>$H$43</f>
        <v>0</v>
      </c>
      <c r="CK43" s="3">
        <f>$I$43</f>
        <v>45142</v>
      </c>
      <c r="CL43" s="1">
        <f>IF(CL$19&gt;=CK43,CK43*CI43,CL$19*CI43)</f>
        <v>0</v>
      </c>
      <c r="CM43" s="1"/>
      <c r="CN43" s="1"/>
      <c r="CO43" s="1"/>
      <c r="CP43" s="23">
        <f>$G$43</f>
        <v>5.0500000000000003E-2</v>
      </c>
      <c r="CQ43" s="3">
        <f>$H$43</f>
        <v>0</v>
      </c>
      <c r="CR43" s="3">
        <f>$I$43</f>
        <v>45142</v>
      </c>
      <c r="CS43" s="1">
        <f>IF(CS$19&gt;=CR43,CR43*CP43,CS$19*CP43)</f>
        <v>0</v>
      </c>
      <c r="CT43" s="1"/>
      <c r="CU43" s="23">
        <f>$G$43</f>
        <v>5.0500000000000003E-2</v>
      </c>
      <c r="CV43" s="3">
        <f>$H$43</f>
        <v>0</v>
      </c>
      <c r="CW43" s="3">
        <f>$I$43</f>
        <v>45142</v>
      </c>
      <c r="CX43" s="1">
        <f>IF(CX$19&gt;=CW43,CW43*CU43,CX$19*CU43)</f>
        <v>0</v>
      </c>
      <c r="CY43" s="1"/>
      <c r="CZ43" s="1"/>
      <c r="DA43" s="1"/>
    </row>
    <row r="44" spans="1:105" x14ac:dyDescent="0.25">
      <c r="B44" s="23">
        <v>9.1499999999999998E-2</v>
      </c>
      <c r="C44" s="3">
        <v>39724</v>
      </c>
      <c r="D44" s="3">
        <v>79448</v>
      </c>
      <c r="E44" s="1">
        <f>IF(E$19&gt;D44,(D44-C44)*B44,IF(E$19&lt;D44,IF(E$19&gt;C44,(E$19-C44)*B44,0),0))</f>
        <v>3634.7460000000001</v>
      </c>
      <c r="G44" s="23">
        <v>9.1499999999999998E-2</v>
      </c>
      <c r="H44" s="3">
        <f>+I43+1</f>
        <v>45143</v>
      </c>
      <c r="I44" s="3">
        <v>90287</v>
      </c>
      <c r="J44" s="1">
        <f>IF(J$19&gt;=I44,(I44-H44)*G44,IF(J$19&lt;I44,IF(J$19&gt;H44,(J$19-H44)*G44,0),0))</f>
        <v>4130.6759999999995</v>
      </c>
      <c r="L44" s="23">
        <f t="shared" si="24"/>
        <v>9.1499999999999998E-2</v>
      </c>
      <c r="M44" s="3">
        <f t="shared" si="24"/>
        <v>45143</v>
      </c>
      <c r="N44" s="3">
        <f t="shared" si="24"/>
        <v>90287</v>
      </c>
      <c r="O44" s="1">
        <f>IF(O$19&gt;=N44,(N44-M44)*L44,IF(O$19&lt;N44,IF(O$19&gt;M44,(O$19-M44)*L44,0),0))</f>
        <v>4130.6759999999995</v>
      </c>
      <c r="Q44" s="23">
        <f t="shared" si="25"/>
        <v>9.1499999999999998E-2</v>
      </c>
      <c r="R44" s="3">
        <f t="shared" si="25"/>
        <v>45143</v>
      </c>
      <c r="S44" s="3">
        <f t="shared" si="25"/>
        <v>90287</v>
      </c>
      <c r="T44" s="1">
        <f>IF(T$19&gt;=S44,(S44-R44)*Q44,IF(T$19&lt;S44,IF(T$19&gt;R44,(T$19-R44)*Q44,0),0))</f>
        <v>4130.6759999999995</v>
      </c>
      <c r="V44" s="23">
        <f t="shared" si="26"/>
        <v>9.1499999999999998E-2</v>
      </c>
      <c r="W44" s="3">
        <f t="shared" si="26"/>
        <v>45143</v>
      </c>
      <c r="X44" s="3">
        <f t="shared" si="26"/>
        <v>90287</v>
      </c>
      <c r="Y44" s="1">
        <f>IF(Y$19&gt;=X44,(X44-W44)*V44,IF(Y$19&lt;X44,IF(Y$19&gt;W44,(Y$19-W44)*V44,0),0))</f>
        <v>0</v>
      </c>
      <c r="Z44" s="1"/>
      <c r="AA44" s="23">
        <f t="shared" si="27"/>
        <v>9.1499999999999998E-2</v>
      </c>
      <c r="AB44" s="3">
        <f t="shared" si="27"/>
        <v>45143</v>
      </c>
      <c r="AC44" s="3">
        <f t="shared" si="27"/>
        <v>90287</v>
      </c>
      <c r="AD44" s="1">
        <f>IF(AD$19&gt;=AC44,(AC44-AB44)*AA44,IF(AD$19&lt;AC44,IF(AD$19&gt;AB44,(AD$19-AB44)*AA44,0),0))</f>
        <v>0</v>
      </c>
      <c r="AE44" s="1"/>
      <c r="AF44" s="1"/>
      <c r="AH44" s="23">
        <f>$G$44</f>
        <v>9.1499999999999998E-2</v>
      </c>
      <c r="AI44" s="3">
        <f>$H$44</f>
        <v>45143</v>
      </c>
      <c r="AJ44" s="3">
        <f>$I$44</f>
        <v>90287</v>
      </c>
      <c r="AK44" s="1">
        <f>IF(AK$19&gt;=AJ44,(AJ44-AI44)*AH44,IF(AK$19&lt;AJ44,IF(AK$19&gt;AI44,(AK$19-AI44)*AH44,0),0))</f>
        <v>0</v>
      </c>
      <c r="AL44" s="94"/>
      <c r="AM44" s="23">
        <f>$G$44</f>
        <v>9.1499999999999998E-2</v>
      </c>
      <c r="AN44" s="3">
        <f>$H$44</f>
        <v>45143</v>
      </c>
      <c r="AO44" s="3">
        <f>$I$44</f>
        <v>90287</v>
      </c>
      <c r="AP44" s="1">
        <f>IF(AP$19&gt;=AO44,(AO44-AN44)*AM44,IF(AP$19&lt;AO44,IF(AP$19&gt;AN44,(AP$19-AN44)*AM44,0),0))</f>
        <v>0</v>
      </c>
      <c r="AQ44" s="94"/>
      <c r="AR44" s="1"/>
      <c r="AS44" s="94"/>
      <c r="AT44" s="23">
        <f>$G$44</f>
        <v>9.1499999999999998E-2</v>
      </c>
      <c r="AU44" s="3">
        <f>$H$44</f>
        <v>45143</v>
      </c>
      <c r="AV44" s="3">
        <f>$I$44</f>
        <v>90287</v>
      </c>
      <c r="AW44" s="1">
        <f>IF(AW$19&gt;=AV44,(AV44-AU44)*AT44,IF(AW$19&lt;AV44,IF(AW$19&gt;AU44,(AW$19-AU44)*AT44,0),0))</f>
        <v>0</v>
      </c>
      <c r="AX44" s="1"/>
      <c r="AY44" s="23">
        <f>$G$44</f>
        <v>9.1499999999999998E-2</v>
      </c>
      <c r="AZ44" s="3">
        <f>$H$44</f>
        <v>45143</v>
      </c>
      <c r="BA44" s="3">
        <f>$I$44</f>
        <v>90287</v>
      </c>
      <c r="BB44" s="1">
        <f>IF(BB$19&gt;=BA44,(BA44-AZ44)*AY44,IF(BB$19&lt;BA44,IF(BB$19&gt;AZ44,(BB$19-AZ44)*AY44,0),0))</f>
        <v>0</v>
      </c>
      <c r="BC44" s="1"/>
      <c r="BD44" s="1"/>
      <c r="BE44" s="1"/>
      <c r="BF44" s="23">
        <f>$G$44</f>
        <v>9.1499999999999998E-2</v>
      </c>
      <c r="BG44" s="3">
        <f>$H$44</f>
        <v>45143</v>
      </c>
      <c r="BH44" s="3">
        <f>$I$44</f>
        <v>90287</v>
      </c>
      <c r="BI44" s="1">
        <f>IF(BI$19&gt;=BH44,(BH44-BG44)*BF44,IF(BI$19&lt;BH44,IF(BI$19&gt;BG44,(BI$19-BG44)*BF44,0),0))</f>
        <v>0</v>
      </c>
      <c r="BJ44" s="1"/>
      <c r="BK44" s="23">
        <f>$G$44</f>
        <v>9.1499999999999998E-2</v>
      </c>
      <c r="BL44" s="3">
        <f>$H$44</f>
        <v>45143</v>
      </c>
      <c r="BM44" s="3">
        <f>$I$44</f>
        <v>90287</v>
      </c>
      <c r="BN44" s="1">
        <f>IF(BN$19&gt;=BM44,(BM44-BL44)*BK44,IF(BN$19&lt;BM44,IF(BN$19&gt;BL44,(BN$19-BL44)*BK44,0),0))</f>
        <v>0</v>
      </c>
      <c r="BO44" s="1"/>
      <c r="BP44" s="1"/>
      <c r="BR44" s="23">
        <f>$G$44</f>
        <v>9.1499999999999998E-2</v>
      </c>
      <c r="BS44" s="3">
        <f>$H$44</f>
        <v>45143</v>
      </c>
      <c r="BT44" s="3">
        <f>$I$44</f>
        <v>90287</v>
      </c>
      <c r="BU44" s="1">
        <f>IF(BU$19&gt;=BT44,(BT44-BS44)*BR44,IF(BU$19&lt;BT44,IF(BU$19&gt;BS44,(BU$19-BS44)*BR44,0),0))</f>
        <v>0</v>
      </c>
      <c r="BV44" s="1"/>
      <c r="BW44" s="23">
        <f>$G$44</f>
        <v>9.1499999999999998E-2</v>
      </c>
      <c r="BX44" s="3">
        <f>$H$44</f>
        <v>45143</v>
      </c>
      <c r="BY44" s="3">
        <f>$I$44</f>
        <v>90287</v>
      </c>
      <c r="BZ44" s="1">
        <f>IF(BZ$19&gt;=BY44,(BY44-BX44)*BW44,IF(BZ$19&lt;BY44,IF(BZ$19&gt;BX44,(BZ$19-BX44)*BW44,0),0))</f>
        <v>0</v>
      </c>
      <c r="CA44" s="1"/>
      <c r="CB44" s="1"/>
      <c r="CC44" s="1"/>
      <c r="CD44" s="23">
        <f>$G$44</f>
        <v>9.1499999999999998E-2</v>
      </c>
      <c r="CE44" s="3">
        <f>$H$44</f>
        <v>45143</v>
      </c>
      <c r="CF44" s="3">
        <f>$I$44</f>
        <v>90287</v>
      </c>
      <c r="CG44" s="1">
        <f>IF(CG$19&gt;=CF44,(CF44-CE44)*CD44,IF(CG$19&lt;CF44,IF(CG$19&gt;CE44,(CG$19-CE44)*CD44,0),0))</f>
        <v>0</v>
      </c>
      <c r="CH44" s="1"/>
      <c r="CI44" s="23">
        <f>$G$44</f>
        <v>9.1499999999999998E-2</v>
      </c>
      <c r="CJ44" s="3">
        <f>$H$44</f>
        <v>45143</v>
      </c>
      <c r="CK44" s="3">
        <f>$I$44</f>
        <v>90287</v>
      </c>
      <c r="CL44" s="1">
        <f>IF(CL$19&gt;=CK44,(CK44-CJ44)*CI44,IF(CL$19&lt;CK44,IF(CL$19&gt;CJ44,(CL$19-CJ44)*CI44,0),0))</f>
        <v>0</v>
      </c>
      <c r="CM44" s="1"/>
      <c r="CN44" s="1"/>
      <c r="CO44" s="1"/>
      <c r="CP44" s="23">
        <f>$G$44</f>
        <v>9.1499999999999998E-2</v>
      </c>
      <c r="CQ44" s="3">
        <f>$H$44</f>
        <v>45143</v>
      </c>
      <c r="CR44" s="3">
        <f>$I$44</f>
        <v>90287</v>
      </c>
      <c r="CS44" s="1">
        <f>IF(CS$19&gt;=CR44,(CR44-CQ44)*CP44,IF(CS$19&lt;CR44,IF(CS$19&gt;CQ44,(CS$19-CQ44)*CP44,0),0))</f>
        <v>0</v>
      </c>
      <c r="CT44" s="1"/>
      <c r="CU44" s="23">
        <f>$G$44</f>
        <v>9.1499999999999998E-2</v>
      </c>
      <c r="CV44" s="3">
        <f>$H$44</f>
        <v>45143</v>
      </c>
      <c r="CW44" s="3">
        <f>$I$44</f>
        <v>90287</v>
      </c>
      <c r="CX44" s="1">
        <f>IF(CX$19&gt;=CW44,(CW44-CV44)*CU44,IF(CX$19&lt;CW44,IF(CX$19&gt;CV44,(CX$19-CV44)*CU44,0),0))</f>
        <v>0</v>
      </c>
      <c r="CY44" s="1"/>
      <c r="CZ44" s="1"/>
      <c r="DA44" s="1"/>
    </row>
    <row r="45" spans="1:105" x14ac:dyDescent="0.25">
      <c r="B45" s="23">
        <v>0.1116</v>
      </c>
      <c r="C45" s="3">
        <v>79448</v>
      </c>
      <c r="D45" s="3">
        <v>509000</v>
      </c>
      <c r="E45" s="1">
        <f>IF(E$19&gt;D45,(D45-C45)*B45,IF(E$19&lt;D45,IF(E$19&gt;C45,(E$19-C45)*B45,0),0))</f>
        <v>2453.1912000000002</v>
      </c>
      <c r="G45" s="23">
        <v>0.1116</v>
      </c>
      <c r="H45" s="3">
        <f>+I44+1</f>
        <v>90288</v>
      </c>
      <c r="I45" s="3">
        <v>150000</v>
      </c>
      <c r="J45" s="1">
        <f>IF(J$19&gt;=I45,(I45-H45)*G45,IF(J$19&lt;I45,IF(J$19&gt;H45,(J$19-H45)*G45,0),0))</f>
        <v>6663.8591999999999</v>
      </c>
      <c r="L45" s="23">
        <f t="shared" si="24"/>
        <v>0.1116</v>
      </c>
      <c r="M45" s="3">
        <f t="shared" si="24"/>
        <v>90288</v>
      </c>
      <c r="N45" s="3">
        <f t="shared" si="24"/>
        <v>150000</v>
      </c>
      <c r="O45" s="1">
        <f>IF(O$19&gt;=N45,(N45-M45)*L45,IF(O$19&lt;N45,IF(O$19&gt;M45,(O$19-M45)*L45,0),0))</f>
        <v>6663.8591999999999</v>
      </c>
      <c r="Q45" s="23">
        <f t="shared" si="25"/>
        <v>0.1116</v>
      </c>
      <c r="R45" s="3">
        <f t="shared" si="25"/>
        <v>90288</v>
      </c>
      <c r="S45" s="3">
        <f t="shared" si="25"/>
        <v>150000</v>
      </c>
      <c r="T45" s="1">
        <f>IF(T$19&gt;=S45,(S45-R45)*Q45,IF(T$19&lt;S45,IF(T$19&gt;R45,(T$19-R45)*Q45,0),0))</f>
        <v>6663.8591999999999</v>
      </c>
      <c r="V45" s="23">
        <f t="shared" si="26"/>
        <v>0.1116</v>
      </c>
      <c r="W45" s="3">
        <f t="shared" si="26"/>
        <v>90288</v>
      </c>
      <c r="X45" s="3">
        <f t="shared" si="26"/>
        <v>150000</v>
      </c>
      <c r="Y45" s="1">
        <f>IF(Y$19&gt;=X45,(X45-W45)*V45,IF(Y$19&lt;X45,IF(Y$19&gt;W45,(Y$19-W45)*V45,0),0))</f>
        <v>0</v>
      </c>
      <c r="Z45" s="1"/>
      <c r="AA45" s="23">
        <f t="shared" si="27"/>
        <v>0.1116</v>
      </c>
      <c r="AB45" s="3">
        <f t="shared" si="27"/>
        <v>90288</v>
      </c>
      <c r="AC45" s="3">
        <f t="shared" si="27"/>
        <v>150000</v>
      </c>
      <c r="AD45" s="1">
        <f>IF(AD$19&gt;=AC45,(AC45-AB45)*AA45,IF(AD$19&lt;AC45,IF(AD$19&gt;AB45,(AD$19-AB45)*AA45,0),0))</f>
        <v>0</v>
      </c>
      <c r="AE45" s="1"/>
      <c r="AF45" s="1"/>
      <c r="AH45" s="23">
        <f>$G$45</f>
        <v>0.1116</v>
      </c>
      <c r="AI45" s="3">
        <f>$H$45</f>
        <v>90288</v>
      </c>
      <c r="AJ45" s="3">
        <f>$I$45</f>
        <v>150000</v>
      </c>
      <c r="AK45" s="1">
        <f>IF(AK$19&gt;=AJ45,(AJ45-AI45)*AH45,IF(AK$19&lt;AJ45,IF(AK$19&gt;AI45,(AK$19-AI45)*AH45,0),0))</f>
        <v>0</v>
      </c>
      <c r="AL45" s="94"/>
      <c r="AM45" s="23">
        <f>$G$45</f>
        <v>0.1116</v>
      </c>
      <c r="AN45" s="3">
        <f>$H$45</f>
        <v>90288</v>
      </c>
      <c r="AO45" s="3">
        <f>$I$45</f>
        <v>150000</v>
      </c>
      <c r="AP45" s="1">
        <f>IF(AP$19&gt;=AO45,(AO45-AN45)*AM45,IF(AP$19&lt;AO45,IF(AP$19&gt;AN45,(AP$19-AN45)*AM45,0),0))</f>
        <v>0</v>
      </c>
      <c r="AQ45" s="94"/>
      <c r="AR45" s="1"/>
      <c r="AS45" s="94"/>
      <c r="AT45" s="23">
        <f>$G$45</f>
        <v>0.1116</v>
      </c>
      <c r="AU45" s="3">
        <f>$H$45</f>
        <v>90288</v>
      </c>
      <c r="AV45" s="3">
        <f>$I$45</f>
        <v>150000</v>
      </c>
      <c r="AW45" s="1">
        <f>IF(AW$19&gt;=AV45,(AV45-AU45)*AT45,IF(AW$19&lt;AV45,IF(AW$19&gt;AU45,(AW$19-AU45)*AT45,0),0))</f>
        <v>0</v>
      </c>
      <c r="AX45" s="1"/>
      <c r="AY45" s="23">
        <f>$G$45</f>
        <v>0.1116</v>
      </c>
      <c r="AZ45" s="3">
        <f>$H$45</f>
        <v>90288</v>
      </c>
      <c r="BA45" s="3">
        <f>$I$45</f>
        <v>150000</v>
      </c>
      <c r="BB45" s="1">
        <f>IF(BB$19&gt;=BA45,(BA45-AZ45)*AY45,IF(BB$19&lt;BA45,IF(BB$19&gt;AZ45,(BB$19-AZ45)*AY45,0),0))</f>
        <v>0</v>
      </c>
      <c r="BC45" s="1"/>
      <c r="BD45" s="1"/>
      <c r="BE45" s="1"/>
      <c r="BF45" s="23">
        <f>$G$45</f>
        <v>0.1116</v>
      </c>
      <c r="BG45" s="3">
        <f>$H$45</f>
        <v>90288</v>
      </c>
      <c r="BH45" s="3">
        <f>$I$45</f>
        <v>150000</v>
      </c>
      <c r="BI45" s="1">
        <f>IF(BI$19&gt;=BH45,(BH45-BG45)*BF45,IF(BI$19&lt;BH45,IF(BI$19&gt;BG45,(BI$19-BG45)*BF45,0),0))</f>
        <v>0</v>
      </c>
      <c r="BJ45" s="1"/>
      <c r="BK45" s="23">
        <f>$G$45</f>
        <v>0.1116</v>
      </c>
      <c r="BL45" s="3">
        <f>$H$45</f>
        <v>90288</v>
      </c>
      <c r="BM45" s="3">
        <f>$I$45</f>
        <v>150000</v>
      </c>
      <c r="BN45" s="1">
        <f>IF(BN$19&gt;=BM45,(BM45-BL45)*BK45,IF(BN$19&lt;BM45,IF(BN$19&gt;BL45,(BN$19-BL45)*BK45,0),0))</f>
        <v>0</v>
      </c>
      <c r="BO45" s="1"/>
      <c r="BP45" s="1"/>
      <c r="BR45" s="23">
        <f>$G$45</f>
        <v>0.1116</v>
      </c>
      <c r="BS45" s="3">
        <f>$H$45</f>
        <v>90288</v>
      </c>
      <c r="BT45" s="3">
        <f>$I$45</f>
        <v>150000</v>
      </c>
      <c r="BU45" s="1">
        <f>IF(BU$19&gt;=BT45,(BT45-BS45)*BR45,IF(BU$19&lt;BT45,IF(BU$19&gt;BS45,(BU$19-BS45)*BR45,0),0))</f>
        <v>0</v>
      </c>
      <c r="BV45" s="1"/>
      <c r="BW45" s="23">
        <f>$G$45</f>
        <v>0.1116</v>
      </c>
      <c r="BX45" s="3">
        <f>$H$45</f>
        <v>90288</v>
      </c>
      <c r="BY45" s="3">
        <f>$I$45</f>
        <v>150000</v>
      </c>
      <c r="BZ45" s="1">
        <f>IF(BZ$19&gt;=BY45,(BY45-BX45)*BW45,IF(BZ$19&lt;BY45,IF(BZ$19&gt;BX45,(BZ$19-BX45)*BW45,0),0))</f>
        <v>0</v>
      </c>
      <c r="CA45" s="1"/>
      <c r="CB45" s="1"/>
      <c r="CC45" s="1"/>
      <c r="CD45" s="23">
        <f>$G$45</f>
        <v>0.1116</v>
      </c>
      <c r="CE45" s="3">
        <f>$H$45</f>
        <v>90288</v>
      </c>
      <c r="CF45" s="3">
        <f>$I$45</f>
        <v>150000</v>
      </c>
      <c r="CG45" s="1">
        <f>IF(CG$19&gt;=CF45,(CF45-CE45)*CD45,IF(CG$19&lt;CF45,IF(CG$19&gt;CE45,(CG$19-CE45)*CD45,0),0))</f>
        <v>0</v>
      </c>
      <c r="CH45" s="1"/>
      <c r="CI45" s="23">
        <f>$G$45</f>
        <v>0.1116</v>
      </c>
      <c r="CJ45" s="3">
        <f>$H$45</f>
        <v>90288</v>
      </c>
      <c r="CK45" s="3">
        <f>$I$45</f>
        <v>150000</v>
      </c>
      <c r="CL45" s="1">
        <f>IF(CL$19&gt;=CK45,(CK45-CJ45)*CI45,IF(CL$19&lt;CK45,IF(CL$19&gt;CJ45,(CL$19-CJ45)*CI45,0),0))</f>
        <v>0</v>
      </c>
      <c r="CM45" s="1"/>
      <c r="CN45" s="1"/>
      <c r="CO45" s="1"/>
      <c r="CP45" s="23">
        <f>$G$45</f>
        <v>0.1116</v>
      </c>
      <c r="CQ45" s="3">
        <f>$H$45</f>
        <v>90288</v>
      </c>
      <c r="CR45" s="3">
        <f>$I$45</f>
        <v>150000</v>
      </c>
      <c r="CS45" s="1">
        <f>IF(CS$19&gt;=CR45,(CR45-CQ45)*CP45,IF(CS$19&lt;CR45,IF(CS$19&gt;CQ45,(CS$19-CQ45)*CP45,0),0))</f>
        <v>0</v>
      </c>
      <c r="CT45" s="1"/>
      <c r="CU45" s="23">
        <f>$G$45</f>
        <v>0.1116</v>
      </c>
      <c r="CV45" s="3">
        <f>$H$45</f>
        <v>90288</v>
      </c>
      <c r="CW45" s="3">
        <f>$I$45</f>
        <v>150000</v>
      </c>
      <c r="CX45" s="1">
        <f>IF(CX$19&gt;=CW45,(CW45-CV45)*CU45,IF(CX$19&lt;CW45,IF(CX$19&gt;CV45,(CX$19-CV45)*CU45,0),0))</f>
        <v>0</v>
      </c>
      <c r="CY45" s="1"/>
      <c r="CZ45" s="1"/>
      <c r="DA45" s="1"/>
    </row>
    <row r="46" spans="1:105" x14ac:dyDescent="0.25">
      <c r="B46" s="23">
        <v>0.13159999999999999</v>
      </c>
      <c r="C46" s="3">
        <v>509001</v>
      </c>
      <c r="D46" s="3"/>
      <c r="E46" s="1">
        <f>IF(E$19&gt;C46,(E$19-C46)*B46,0)</f>
        <v>0</v>
      </c>
      <c r="G46" s="23">
        <v>0.1216</v>
      </c>
      <c r="H46" s="3">
        <f>+I45+1</f>
        <v>150001</v>
      </c>
      <c r="I46" s="3">
        <v>220000</v>
      </c>
      <c r="J46" s="1">
        <f>IF(J$19&gt;=I46,(I46-H46)*G46,IF(J$19&lt;I46,IF(J$19&gt;H46,(J$19-H46)*G46,0),0))</f>
        <v>8511.8783999999996</v>
      </c>
      <c r="L46" s="23">
        <f t="shared" si="24"/>
        <v>0.1216</v>
      </c>
      <c r="M46" s="3">
        <f t="shared" si="24"/>
        <v>150001</v>
      </c>
      <c r="N46" s="3">
        <f t="shared" si="24"/>
        <v>220000</v>
      </c>
      <c r="O46" s="1">
        <f>IF(O$19&gt;=N46,(N46-M46)*L46,IF(O$19&lt;N46,IF(O$19&gt;M46,(O$19-M46)*L46,0),0))</f>
        <v>8511.8783999999996</v>
      </c>
      <c r="Q46" s="23">
        <f t="shared" si="25"/>
        <v>0.1216</v>
      </c>
      <c r="R46" s="3">
        <f t="shared" si="25"/>
        <v>150001</v>
      </c>
      <c r="S46" s="3">
        <f t="shared" si="25"/>
        <v>220000</v>
      </c>
      <c r="T46" s="1">
        <f>IF(T$19&gt;=S46,(S46-R46)*Q46,IF(T$19&lt;S46,IF(T$19&gt;R46,(T$19-R46)*Q46,0),0))</f>
        <v>8511.8783999999996</v>
      </c>
      <c r="V46" s="23">
        <f t="shared" si="26"/>
        <v>0.1216</v>
      </c>
      <c r="W46" s="3">
        <f t="shared" si="26"/>
        <v>150001</v>
      </c>
      <c r="X46" s="3">
        <f t="shared" si="26"/>
        <v>220000</v>
      </c>
      <c r="Y46" s="1">
        <f>IF(Y$19&gt;=X46,(X46-W46)*V46,IF(Y$19&lt;X46,IF(Y$19&gt;W46,(Y$19-W46)*V46,0),0))</f>
        <v>0</v>
      </c>
      <c r="Z46" s="1"/>
      <c r="AA46" s="23">
        <f t="shared" si="27"/>
        <v>0.1216</v>
      </c>
      <c r="AB46" s="3">
        <f t="shared" si="27"/>
        <v>150001</v>
      </c>
      <c r="AC46" s="3">
        <f t="shared" si="27"/>
        <v>220000</v>
      </c>
      <c r="AD46" s="1">
        <f>IF(AD$19&gt;=AC46,(AC46-AB46)*AA46,IF(AD$19&lt;AC46,IF(AD$19&gt;AB46,(AD$19-AB46)*AA46,0),0))</f>
        <v>0</v>
      </c>
      <c r="AE46" s="1"/>
      <c r="AF46" s="1"/>
      <c r="AH46" s="23">
        <f>$G$46</f>
        <v>0.1216</v>
      </c>
      <c r="AI46" s="3">
        <f>$H$46</f>
        <v>150001</v>
      </c>
      <c r="AJ46" s="3">
        <f>$I$46</f>
        <v>220000</v>
      </c>
      <c r="AK46" s="1">
        <f>IF(AK$19&gt;=AJ46,(AJ46-AI46)*AH46,IF(AK$19&lt;AJ46,IF(AK$19&gt;AI46,(AK$19-AI46)*AH46,0),0))</f>
        <v>0</v>
      </c>
      <c r="AL46" s="94"/>
      <c r="AM46" s="23">
        <f>$G$46</f>
        <v>0.1216</v>
      </c>
      <c r="AN46" s="3">
        <f>$H$46</f>
        <v>150001</v>
      </c>
      <c r="AO46" s="3">
        <f>$I$46</f>
        <v>220000</v>
      </c>
      <c r="AP46" s="1">
        <f>IF(AP$19&gt;=AO46,(AO46-AN46)*AM46,IF(AP$19&lt;AO46,IF(AP$19&gt;AN46,(AP$19-AN46)*AM46,0),0))</f>
        <v>0</v>
      </c>
      <c r="AQ46" s="94"/>
      <c r="AR46" s="1"/>
      <c r="AS46" s="94"/>
      <c r="AT46" s="23">
        <f>$G$46</f>
        <v>0.1216</v>
      </c>
      <c r="AU46" s="3">
        <f>$H$46</f>
        <v>150001</v>
      </c>
      <c r="AV46" s="3">
        <f>$I$46</f>
        <v>220000</v>
      </c>
      <c r="AW46" s="1">
        <f>IF(AW$19&gt;=AV46,(AV46-AU46)*AT46,IF(AW$19&lt;AV46,IF(AW$19&gt;AU46,(AW$19-AU46)*AT46,0),0))</f>
        <v>0</v>
      </c>
      <c r="AX46" s="1"/>
      <c r="AY46" s="23">
        <f>$G$46</f>
        <v>0.1216</v>
      </c>
      <c r="AZ46" s="3">
        <f>$H$46</f>
        <v>150001</v>
      </c>
      <c r="BA46" s="3">
        <f>$I$46</f>
        <v>220000</v>
      </c>
      <c r="BB46" s="1">
        <f>IF(BB$19&gt;=BA46,(BA46-AZ46)*AY46,IF(BB$19&lt;BA46,IF(BB$19&gt;AZ46,(BB$19-AZ46)*AY46,0),0))</f>
        <v>0</v>
      </c>
      <c r="BC46" s="1"/>
      <c r="BD46" s="1"/>
      <c r="BE46" s="1"/>
      <c r="BF46" s="23">
        <f>$G$46</f>
        <v>0.1216</v>
      </c>
      <c r="BG46" s="3">
        <f>$H$46</f>
        <v>150001</v>
      </c>
      <c r="BH46" s="3">
        <f>$I$46</f>
        <v>220000</v>
      </c>
      <c r="BI46" s="1">
        <f>IF(BI$19&gt;=BH46,(BH46-BG46)*BF46,IF(BI$19&lt;BH46,IF(BI$19&gt;BG46,(BI$19-BG46)*BF46,0),0))</f>
        <v>0</v>
      </c>
      <c r="BJ46" s="1"/>
      <c r="BK46" s="23">
        <f>$G$46</f>
        <v>0.1216</v>
      </c>
      <c r="BL46" s="3">
        <f>$H$46</f>
        <v>150001</v>
      </c>
      <c r="BM46" s="3">
        <f>$I$46</f>
        <v>220000</v>
      </c>
      <c r="BN46" s="1">
        <f>IF(BN$19&gt;=BM46,(BM46-BL46)*BK46,IF(BN$19&lt;BM46,IF(BN$19&gt;BL46,(BN$19-BL46)*BK46,0),0))</f>
        <v>0</v>
      </c>
      <c r="BO46" s="1"/>
      <c r="BP46" s="1"/>
      <c r="BR46" s="23">
        <f>$G$46</f>
        <v>0.1216</v>
      </c>
      <c r="BS46" s="3">
        <f>$H$46</f>
        <v>150001</v>
      </c>
      <c r="BT46" s="3">
        <f>$I$46</f>
        <v>220000</v>
      </c>
      <c r="BU46" s="1">
        <f>IF(BU$19&gt;=BT46,(BT46-BS46)*BR46,IF(BU$19&lt;BT46,IF(BU$19&gt;BS46,(BU$19-BS46)*BR46,0),0))</f>
        <v>0</v>
      </c>
      <c r="BV46" s="1"/>
      <c r="BW46" s="23">
        <f>$G$46</f>
        <v>0.1216</v>
      </c>
      <c r="BX46" s="3">
        <f>$H$46</f>
        <v>150001</v>
      </c>
      <c r="BY46" s="3">
        <f>$I$46</f>
        <v>220000</v>
      </c>
      <c r="BZ46" s="1">
        <f>IF(BZ$19&gt;=BY46,(BY46-BX46)*BW46,IF(BZ$19&lt;BY46,IF(BZ$19&gt;BX46,(BZ$19-BX46)*BW46,0),0))</f>
        <v>0</v>
      </c>
      <c r="CA46" s="1"/>
      <c r="CB46" s="1"/>
      <c r="CC46" s="1"/>
      <c r="CD46" s="23">
        <f>$G$46</f>
        <v>0.1216</v>
      </c>
      <c r="CE46" s="3">
        <f>$H$46</f>
        <v>150001</v>
      </c>
      <c r="CF46" s="3">
        <f>$I$46</f>
        <v>220000</v>
      </c>
      <c r="CG46" s="1">
        <f>IF(CG$19&gt;=CF46,(CF46-CE46)*CD46,IF(CG$19&lt;CF46,IF(CG$19&gt;CE46,(CG$19-CE46)*CD46,0),0))</f>
        <v>0</v>
      </c>
      <c r="CH46" s="1"/>
      <c r="CI46" s="23">
        <f>$G$46</f>
        <v>0.1216</v>
      </c>
      <c r="CJ46" s="3">
        <f>$H$46</f>
        <v>150001</v>
      </c>
      <c r="CK46" s="3">
        <f>$I$46</f>
        <v>220000</v>
      </c>
      <c r="CL46" s="1">
        <f>IF(CL$19&gt;=CK46,(CK46-CJ46)*CI46,IF(CL$19&lt;CK46,IF(CL$19&gt;CJ46,(CL$19-CJ46)*CI46,0),0))</f>
        <v>0</v>
      </c>
      <c r="CM46" s="1"/>
      <c r="CN46" s="1"/>
      <c r="CO46" s="1"/>
      <c r="CP46" s="23">
        <f>$G$46</f>
        <v>0.1216</v>
      </c>
      <c r="CQ46" s="3">
        <f>$H$46</f>
        <v>150001</v>
      </c>
      <c r="CR46" s="3">
        <f>$I$46</f>
        <v>220000</v>
      </c>
      <c r="CS46" s="1">
        <f>IF(CS$19&gt;=CR46,(CR46-CQ46)*CP46,IF(CS$19&lt;CR46,IF(CS$19&gt;CQ46,(CS$19-CQ46)*CP46,0),0))</f>
        <v>0</v>
      </c>
      <c r="CT46" s="1"/>
      <c r="CU46" s="23">
        <f>$G$46</f>
        <v>0.1216</v>
      </c>
      <c r="CV46" s="3">
        <f>$H$46</f>
        <v>150001</v>
      </c>
      <c r="CW46" s="3">
        <f>$I$46</f>
        <v>220000</v>
      </c>
      <c r="CX46" s="1">
        <f>IF(CX$19&gt;=CW46,(CW46-CV46)*CU46,IF(CX$19&lt;CW46,IF(CX$19&gt;CV46,(CX$19-CV46)*CU46,0),0))</f>
        <v>0</v>
      </c>
      <c r="CY46" s="1"/>
      <c r="CZ46" s="1"/>
      <c r="DA46" s="1"/>
    </row>
    <row r="47" spans="1:105" x14ac:dyDescent="0.25">
      <c r="C47" s="3"/>
      <c r="D47" s="3"/>
      <c r="E47" s="1"/>
      <c r="G47" s="23">
        <v>0.13159999999999999</v>
      </c>
      <c r="H47" s="3">
        <f>+I46+1</f>
        <v>220001</v>
      </c>
      <c r="I47" s="3"/>
      <c r="J47" s="1">
        <f>IF(J$19&gt;H47,(J$19-H47)*G47,0)</f>
        <v>37788.808400000002</v>
      </c>
      <c r="L47" s="23">
        <f t="shared" si="24"/>
        <v>0.13159999999999999</v>
      </c>
      <c r="M47" s="3">
        <f t="shared" si="24"/>
        <v>220001</v>
      </c>
      <c r="N47" s="3">
        <f t="shared" si="24"/>
        <v>0</v>
      </c>
      <c r="O47" s="1">
        <f>IF(O$19&gt;M47,(O$19-M47)*L47,0)</f>
        <v>40512.928399999997</v>
      </c>
      <c r="Q47" s="23">
        <f t="shared" si="25"/>
        <v>0.13159999999999999</v>
      </c>
      <c r="R47" s="3">
        <f t="shared" si="25"/>
        <v>220001</v>
      </c>
      <c r="S47" s="3">
        <f t="shared" si="25"/>
        <v>0</v>
      </c>
      <c r="T47" s="1">
        <f>IF(T$19&gt;R47,(T$19-R47)*Q47,0)</f>
        <v>36847.868399999999</v>
      </c>
      <c r="V47" s="23">
        <f t="shared" si="26"/>
        <v>0.13159999999999999</v>
      </c>
      <c r="W47" s="3">
        <f t="shared" si="26"/>
        <v>220001</v>
      </c>
      <c r="X47" s="3">
        <f t="shared" si="26"/>
        <v>0</v>
      </c>
      <c r="Y47" s="1">
        <f>IF(Y$19&gt;W47,(Y$19-W47)*V47,0)</f>
        <v>0</v>
      </c>
      <c r="Z47" s="1"/>
      <c r="AA47" s="23">
        <f t="shared" si="27"/>
        <v>0.13159999999999999</v>
      </c>
      <c r="AB47" s="3">
        <f t="shared" si="27"/>
        <v>220001</v>
      </c>
      <c r="AC47" s="3">
        <f t="shared" si="27"/>
        <v>0</v>
      </c>
      <c r="AD47" s="1">
        <f>IF(AD$19&gt;AB47,(AD$19-AB47)*AA47,0)</f>
        <v>0</v>
      </c>
      <c r="AE47" s="1"/>
      <c r="AF47" s="1"/>
      <c r="AH47" s="23">
        <f>$G$47</f>
        <v>0.13159999999999999</v>
      </c>
      <c r="AI47" s="3">
        <f>$H$47</f>
        <v>220001</v>
      </c>
      <c r="AJ47" s="3">
        <f>$I$47</f>
        <v>0</v>
      </c>
      <c r="AK47" s="1">
        <f>IF(AK$19&gt;AI47,(AK$19-AI47)*AH47,0)</f>
        <v>0</v>
      </c>
      <c r="AL47" s="94"/>
      <c r="AM47" s="23">
        <f>$G$47</f>
        <v>0.13159999999999999</v>
      </c>
      <c r="AN47" s="3">
        <f>$H$47</f>
        <v>220001</v>
      </c>
      <c r="AO47" s="3">
        <f>$I$47</f>
        <v>0</v>
      </c>
      <c r="AP47" s="1">
        <f>IF(AP$19&gt;AN47,(AP$19-AN47)*AM47,0)</f>
        <v>0</v>
      </c>
      <c r="AQ47" s="94"/>
      <c r="AR47" s="1"/>
      <c r="AS47" s="94"/>
      <c r="AT47" s="23">
        <f>$G$47</f>
        <v>0.13159999999999999</v>
      </c>
      <c r="AU47" s="3">
        <f>$H$47</f>
        <v>220001</v>
      </c>
      <c r="AV47" s="3">
        <f>$I$47</f>
        <v>0</v>
      </c>
      <c r="AW47" s="1">
        <f>IF(AW$19&gt;AU47,(AW$19-AU47)*AT47,0)</f>
        <v>0</v>
      </c>
      <c r="AX47" s="1"/>
      <c r="AY47" s="23">
        <f>$G$47</f>
        <v>0.13159999999999999</v>
      </c>
      <c r="AZ47" s="3">
        <f>$H$47</f>
        <v>220001</v>
      </c>
      <c r="BA47" s="3">
        <f>$I$47</f>
        <v>0</v>
      </c>
      <c r="BB47" s="1">
        <f>IF(BB$19&gt;AZ47,(BB$19-AZ47)*AY47,0)</f>
        <v>0</v>
      </c>
      <c r="BC47" s="1"/>
      <c r="BD47" s="1"/>
      <c r="BE47" s="1"/>
      <c r="BF47" s="23">
        <f>$G$47</f>
        <v>0.13159999999999999</v>
      </c>
      <c r="BG47" s="3">
        <f>$H$47</f>
        <v>220001</v>
      </c>
      <c r="BH47" s="3">
        <f>$I$47</f>
        <v>0</v>
      </c>
      <c r="BI47" s="1">
        <f>IF(BI$19&gt;BG47,(BI$19-BG47)*BF47,0)</f>
        <v>0</v>
      </c>
      <c r="BJ47" s="1"/>
      <c r="BK47" s="23">
        <f>$G$47</f>
        <v>0.13159999999999999</v>
      </c>
      <c r="BL47" s="3">
        <f>$H$47</f>
        <v>220001</v>
      </c>
      <c r="BM47" s="3">
        <f>$I$47</f>
        <v>0</v>
      </c>
      <c r="BN47" s="1">
        <f>IF(BN$19&gt;BL47,(BN$19-BL47)*BK47,0)</f>
        <v>0</v>
      </c>
      <c r="BO47" s="1"/>
      <c r="BP47" s="1"/>
      <c r="BR47" s="23">
        <f>$G$47</f>
        <v>0.13159999999999999</v>
      </c>
      <c r="BS47" s="3">
        <f>$H$47</f>
        <v>220001</v>
      </c>
      <c r="BT47" s="3">
        <f>$I$47</f>
        <v>0</v>
      </c>
      <c r="BU47" s="1">
        <f>IF(BU$19&gt;BS47,(BU$19-BS47)*BR47,0)</f>
        <v>0</v>
      </c>
      <c r="BV47" s="1"/>
      <c r="BW47" s="23">
        <f>$G$47</f>
        <v>0.13159999999999999</v>
      </c>
      <c r="BX47" s="3">
        <f>$H$47</f>
        <v>220001</v>
      </c>
      <c r="BY47" s="3">
        <f>$I$47</f>
        <v>0</v>
      </c>
      <c r="BZ47" s="1">
        <f>IF(BZ$19&gt;BX47,(BZ$19-BX47)*BW47,0)</f>
        <v>0</v>
      </c>
      <c r="CA47" s="1"/>
      <c r="CB47" s="1"/>
      <c r="CC47" s="1"/>
      <c r="CD47" s="23">
        <f>$G$47</f>
        <v>0.13159999999999999</v>
      </c>
      <c r="CE47" s="3">
        <f>$H$47</f>
        <v>220001</v>
      </c>
      <c r="CF47" s="3">
        <f>$I$47</f>
        <v>0</v>
      </c>
      <c r="CG47" s="1">
        <f>IF(CG$19&gt;CE47,(CG$19-CE47)*CD47,0)</f>
        <v>0</v>
      </c>
      <c r="CH47" s="1"/>
      <c r="CI47" s="23">
        <f>$G$47</f>
        <v>0.13159999999999999</v>
      </c>
      <c r="CJ47" s="3">
        <f>$H$47</f>
        <v>220001</v>
      </c>
      <c r="CK47" s="3">
        <f>$I$47</f>
        <v>0</v>
      </c>
      <c r="CL47" s="1">
        <f>IF(CL$19&gt;CJ47,(CL$19-CJ47)*CI47,0)</f>
        <v>0</v>
      </c>
      <c r="CM47" s="1"/>
      <c r="CN47" s="1"/>
      <c r="CO47" s="1"/>
      <c r="CP47" s="23">
        <f>$G$47</f>
        <v>0.13159999999999999</v>
      </c>
      <c r="CQ47" s="3">
        <f>$H$47</f>
        <v>220001</v>
      </c>
      <c r="CR47" s="3">
        <f>$I$47</f>
        <v>0</v>
      </c>
      <c r="CS47" s="1">
        <f>IF(CS$19&gt;CQ47,(CS$19-CQ47)*CP47,0)</f>
        <v>0</v>
      </c>
      <c r="CT47" s="1"/>
      <c r="CU47" s="23">
        <f>$G$47</f>
        <v>0.13159999999999999</v>
      </c>
      <c r="CV47" s="3">
        <f>$H$47</f>
        <v>220001</v>
      </c>
      <c r="CW47" s="3">
        <f>$I$47</f>
        <v>0</v>
      </c>
      <c r="CX47" s="1">
        <f>IF(CX$19&gt;CV47,(CX$19-CV47)*CU47,0)</f>
        <v>0</v>
      </c>
      <c r="CY47" s="1"/>
      <c r="CZ47" s="1"/>
      <c r="DA47" s="1"/>
    </row>
    <row r="48" spans="1:105" x14ac:dyDescent="0.25">
      <c r="C48" s="3"/>
      <c r="D48" s="3"/>
      <c r="E48" s="1"/>
      <c r="G48" s="23"/>
      <c r="H48" s="3"/>
      <c r="I48" s="3"/>
      <c r="J48" s="1"/>
      <c r="L48" s="23"/>
      <c r="M48" s="3"/>
      <c r="N48" s="3"/>
      <c r="O48" s="1"/>
      <c r="Q48" s="23"/>
      <c r="R48" s="3"/>
      <c r="S48" s="3"/>
      <c r="T48" s="1"/>
      <c r="V48" s="23"/>
      <c r="W48" s="3"/>
      <c r="X48" s="3"/>
      <c r="Y48" s="1"/>
      <c r="Z48" s="1"/>
      <c r="AA48" s="23"/>
      <c r="AB48" s="3"/>
      <c r="AC48" s="3"/>
      <c r="AD48" s="1"/>
      <c r="AE48" s="1"/>
      <c r="AF48" s="1"/>
      <c r="AH48" s="23"/>
      <c r="AI48" s="3"/>
      <c r="AJ48" s="3"/>
      <c r="AK48" s="1"/>
      <c r="AL48" s="94"/>
      <c r="AM48" s="23"/>
      <c r="AN48" s="3"/>
      <c r="AO48" s="3"/>
      <c r="AP48" s="1"/>
      <c r="AQ48" s="94"/>
      <c r="AR48" s="1"/>
      <c r="AS48" s="94"/>
      <c r="AT48" s="23"/>
      <c r="AU48" s="3"/>
      <c r="AV48" s="3"/>
      <c r="AW48" s="1"/>
      <c r="AX48" s="1"/>
      <c r="AY48" s="23"/>
      <c r="AZ48" s="3"/>
      <c r="BA48" s="3"/>
      <c r="BB48" s="1"/>
      <c r="BC48" s="1"/>
      <c r="BD48" s="1"/>
      <c r="BE48" s="1"/>
      <c r="BF48" s="23"/>
      <c r="BG48" s="3"/>
      <c r="BH48" s="3"/>
      <c r="BI48" s="1"/>
      <c r="BJ48" s="1"/>
      <c r="BK48" s="23"/>
      <c r="BL48" s="3"/>
      <c r="BM48" s="3"/>
      <c r="BN48" s="1"/>
      <c r="BO48" s="1"/>
      <c r="BP48" s="1"/>
      <c r="BR48" s="23"/>
      <c r="BS48" s="3"/>
      <c r="BT48" s="3"/>
      <c r="BU48" s="1"/>
      <c r="BV48" s="1"/>
      <c r="BW48" s="23"/>
      <c r="BX48" s="3"/>
      <c r="BY48" s="3"/>
      <c r="BZ48" s="1"/>
      <c r="CA48" s="1"/>
      <c r="CB48" s="1"/>
      <c r="CC48" s="1"/>
      <c r="CD48" s="23"/>
      <c r="CE48" s="3"/>
      <c r="CF48" s="3"/>
      <c r="CG48" s="1"/>
      <c r="CH48" s="1"/>
      <c r="CI48" s="23"/>
      <c r="CJ48" s="3"/>
      <c r="CK48" s="3"/>
      <c r="CL48" s="1"/>
      <c r="CM48" s="1"/>
      <c r="CN48" s="1"/>
      <c r="CO48" s="1"/>
      <c r="CP48" s="23"/>
      <c r="CQ48" s="3"/>
      <c r="CR48" s="3"/>
      <c r="CS48" s="1"/>
      <c r="CT48" s="1"/>
      <c r="CU48" s="23"/>
      <c r="CV48" s="3"/>
      <c r="CW48" s="3"/>
      <c r="CX48" s="1"/>
      <c r="CY48" s="1"/>
      <c r="CZ48" s="1"/>
      <c r="DA48" s="1"/>
    </row>
    <row r="49" spans="1:105" x14ac:dyDescent="0.25">
      <c r="A49" s="21" t="s">
        <v>25</v>
      </c>
      <c r="C49" s="3"/>
      <c r="D49" s="3"/>
      <c r="E49" s="2">
        <f>SUM(E43:E46)</f>
        <v>8093.9486999999999</v>
      </c>
      <c r="G49" s="20"/>
      <c r="H49" s="29"/>
      <c r="I49" s="29"/>
      <c r="J49" s="41">
        <f>SUM(J43:J48)</f>
        <v>59374.893000000004</v>
      </c>
      <c r="L49" s="20"/>
      <c r="M49" s="29"/>
      <c r="N49" s="29">
        <v>0</v>
      </c>
      <c r="O49" s="41">
        <f>SUM(O43:O48)</f>
        <v>62099.012999999999</v>
      </c>
      <c r="Q49" s="20"/>
      <c r="R49" s="29"/>
      <c r="S49" s="29"/>
      <c r="T49" s="41">
        <f>SUM(T43:T48)</f>
        <v>58433.953000000001</v>
      </c>
      <c r="V49" s="20"/>
      <c r="W49" s="29"/>
      <c r="X49" s="29"/>
      <c r="Y49" s="41">
        <f>SUM(Y43:Y48)</f>
        <v>0</v>
      </c>
      <c r="Z49" s="50"/>
      <c r="AA49" s="20"/>
      <c r="AB49" s="29"/>
      <c r="AC49" s="29"/>
      <c r="AD49" s="41">
        <f>SUM(AD43:AD48)</f>
        <v>0</v>
      </c>
      <c r="AE49" s="50"/>
      <c r="AF49" s="50"/>
      <c r="AH49" s="20"/>
      <c r="AI49" s="29"/>
      <c r="AJ49" s="29"/>
      <c r="AK49" s="41">
        <f>SUM(AK43:AK48)</f>
        <v>0</v>
      </c>
      <c r="AL49" s="98"/>
      <c r="AM49" s="20"/>
      <c r="AN49" s="29"/>
      <c r="AO49" s="29"/>
      <c r="AP49" s="41">
        <f>SUM(AP43:AP48)</f>
        <v>0</v>
      </c>
      <c r="AQ49" s="98"/>
      <c r="AR49" s="50"/>
      <c r="AS49" s="98"/>
      <c r="AT49" s="20"/>
      <c r="AU49" s="29"/>
      <c r="AV49" s="29"/>
      <c r="AW49" s="41">
        <f>SUM(AW43:AW48)</f>
        <v>0</v>
      </c>
      <c r="AX49" s="50"/>
      <c r="AY49" s="20"/>
      <c r="AZ49" s="29"/>
      <c r="BA49" s="29"/>
      <c r="BB49" s="41">
        <f>SUM(BB43:BB48)</f>
        <v>0</v>
      </c>
      <c r="BC49" s="50"/>
      <c r="BD49" s="50"/>
      <c r="BE49" s="50"/>
      <c r="BF49" s="20"/>
      <c r="BG49" s="29"/>
      <c r="BH49" s="29"/>
      <c r="BI49" s="41">
        <f>SUM(BI43:BI48)</f>
        <v>0</v>
      </c>
      <c r="BJ49" s="50"/>
      <c r="BK49" s="20"/>
      <c r="BL49" s="29"/>
      <c r="BM49" s="29"/>
      <c r="BN49" s="41">
        <f>SUM(BN43:BN48)</f>
        <v>0</v>
      </c>
      <c r="BO49" s="50"/>
      <c r="BP49" s="50"/>
      <c r="BR49" s="20"/>
      <c r="BS49" s="29"/>
      <c r="BT49" s="29"/>
      <c r="BU49" s="41">
        <f>SUM(BU43:BU48)</f>
        <v>0</v>
      </c>
      <c r="BV49" s="50"/>
      <c r="BW49" s="20"/>
      <c r="BX49" s="29"/>
      <c r="BY49" s="29"/>
      <c r="BZ49" s="41">
        <f>SUM(BZ43:BZ48)</f>
        <v>0</v>
      </c>
      <c r="CA49" s="50"/>
      <c r="CB49" s="50"/>
      <c r="CC49" s="50"/>
      <c r="CD49" s="20"/>
      <c r="CE49" s="29"/>
      <c r="CF49" s="29"/>
      <c r="CG49" s="41">
        <f>SUM(CG43:CG48)</f>
        <v>0</v>
      </c>
      <c r="CH49" s="50"/>
      <c r="CI49" s="20"/>
      <c r="CJ49" s="29"/>
      <c r="CK49" s="29"/>
      <c r="CL49" s="41">
        <f>SUM(CL43:CL48)</f>
        <v>0</v>
      </c>
      <c r="CM49" s="50"/>
      <c r="CN49" s="50"/>
      <c r="CO49" s="50"/>
      <c r="CP49" s="20"/>
      <c r="CQ49" s="29"/>
      <c r="CR49" s="29"/>
      <c r="CS49" s="41">
        <f>SUM(CS43:CS48)</f>
        <v>0</v>
      </c>
      <c r="CT49" s="50"/>
      <c r="CU49" s="20"/>
      <c r="CV49" s="29"/>
      <c r="CW49" s="29"/>
      <c r="CX49" s="41">
        <f>SUM(CX43:CX48)</f>
        <v>0</v>
      </c>
      <c r="CY49" s="50"/>
      <c r="CZ49" s="50"/>
      <c r="DA49" s="50"/>
    </row>
    <row r="50" spans="1:105" x14ac:dyDescent="0.25">
      <c r="C50" s="3"/>
      <c r="D50" s="3"/>
      <c r="H50" s="3"/>
      <c r="I50" s="3"/>
      <c r="M50" s="3"/>
      <c r="N50" s="3"/>
      <c r="R50" s="3"/>
      <c r="S50" s="3"/>
      <c r="W50" s="3"/>
      <c r="X50" s="3"/>
      <c r="AB50" s="3"/>
      <c r="AC50" s="3"/>
      <c r="AI50" s="3"/>
      <c r="AJ50" s="3"/>
      <c r="AN50" s="3"/>
      <c r="AO50" s="3"/>
      <c r="AU50" s="3"/>
      <c r="AV50" s="3"/>
      <c r="AZ50" s="3"/>
      <c r="BA50" s="3"/>
      <c r="BG50" s="3"/>
      <c r="BH50" s="3"/>
      <c r="BL50" s="3"/>
      <c r="BM50" s="3"/>
      <c r="BS50" s="3"/>
      <c r="BT50" s="3"/>
      <c r="BX50" s="3"/>
      <c r="BY50" s="3"/>
      <c r="CE50" s="3"/>
      <c r="CF50" s="3"/>
      <c r="CJ50" s="3"/>
      <c r="CK50" s="3"/>
      <c r="CQ50" s="3"/>
      <c r="CR50" s="3"/>
      <c r="CV50" s="3"/>
      <c r="CW50" s="3"/>
    </row>
    <row r="51" spans="1:105" x14ac:dyDescent="0.25">
      <c r="A51" s="21" t="s">
        <v>23</v>
      </c>
      <c r="B51" s="21"/>
      <c r="C51" s="4"/>
      <c r="D51" s="4"/>
      <c r="E51" s="2"/>
      <c r="G51" s="21"/>
      <c r="H51" s="4"/>
      <c r="I51" s="4"/>
      <c r="J51" s="2"/>
      <c r="K51" s="2"/>
      <c r="L51" s="21"/>
      <c r="M51" s="4"/>
      <c r="N51" s="4"/>
      <c r="O51" s="2"/>
      <c r="Q51" s="21"/>
      <c r="R51" s="4"/>
      <c r="S51" s="4"/>
      <c r="T51" s="2"/>
      <c r="V51" s="21"/>
      <c r="W51" s="4"/>
      <c r="X51" s="4"/>
      <c r="Y51" s="2"/>
      <c r="Z51" s="2"/>
      <c r="AA51" s="21"/>
      <c r="AB51" s="4"/>
      <c r="AC51" s="4"/>
      <c r="AD51" s="2"/>
      <c r="AE51" s="2"/>
      <c r="AF51" s="2"/>
      <c r="AH51" s="21"/>
      <c r="AI51" s="4"/>
      <c r="AJ51" s="4"/>
      <c r="AK51" s="2"/>
      <c r="AL51" s="14"/>
      <c r="AM51" s="21"/>
      <c r="AN51" s="4"/>
      <c r="AO51" s="4"/>
      <c r="AP51" s="2"/>
      <c r="AQ51" s="14"/>
      <c r="AR51" s="2"/>
      <c r="AS51" s="14"/>
      <c r="AT51" s="21"/>
      <c r="AU51" s="4"/>
      <c r="AV51" s="4"/>
      <c r="AW51" s="2"/>
      <c r="AX51" s="2"/>
      <c r="AY51" s="21"/>
      <c r="AZ51" s="4"/>
      <c r="BA51" s="4"/>
      <c r="BB51" s="2"/>
      <c r="BC51" s="2"/>
      <c r="BD51" s="2"/>
      <c r="BE51" s="2"/>
      <c r="BF51" s="21"/>
      <c r="BG51" s="4"/>
      <c r="BH51" s="4"/>
      <c r="BI51" s="2"/>
      <c r="BJ51" s="2"/>
      <c r="BK51" s="21"/>
      <c r="BL51" s="4"/>
      <c r="BM51" s="4"/>
      <c r="BN51" s="2"/>
      <c r="BO51" s="2"/>
      <c r="BP51" s="2"/>
      <c r="BR51" s="21"/>
      <c r="BS51" s="4"/>
      <c r="BT51" s="4"/>
      <c r="BU51" s="2"/>
      <c r="BV51" s="2"/>
      <c r="BW51" s="21"/>
      <c r="BX51" s="4"/>
      <c r="BY51" s="4"/>
      <c r="BZ51" s="2"/>
      <c r="CA51" s="2"/>
      <c r="CB51" s="2"/>
      <c r="CC51" s="2"/>
      <c r="CD51" s="21"/>
      <c r="CE51" s="4"/>
      <c r="CF51" s="4"/>
      <c r="CG51" s="2"/>
      <c r="CH51" s="2"/>
      <c r="CI51" s="21"/>
      <c r="CJ51" s="4"/>
      <c r="CK51" s="4"/>
      <c r="CL51" s="2"/>
      <c r="CM51" s="2"/>
      <c r="CN51" s="2"/>
      <c r="CO51" s="2"/>
      <c r="CP51" s="21"/>
      <c r="CQ51" s="4"/>
      <c r="CR51" s="4"/>
      <c r="CS51" s="2"/>
      <c r="CT51" s="2"/>
      <c r="CU51" s="21"/>
      <c r="CV51" s="4"/>
      <c r="CW51" s="4"/>
      <c r="CX51" s="2"/>
      <c r="CY51" s="2"/>
      <c r="CZ51" s="2"/>
      <c r="DA51" s="2"/>
    </row>
    <row r="52" spans="1:105" x14ac:dyDescent="0.25">
      <c r="A52" s="21"/>
      <c r="B52" s="21"/>
      <c r="C52" s="4"/>
      <c r="D52" s="4"/>
      <c r="E52" s="2"/>
      <c r="G52" s="21"/>
      <c r="H52" s="4"/>
      <c r="I52" s="4"/>
      <c r="J52" s="2"/>
      <c r="K52" s="2"/>
      <c r="L52" s="21"/>
      <c r="M52" s="4"/>
      <c r="N52" s="4"/>
      <c r="O52" s="2"/>
      <c r="Q52" s="21"/>
      <c r="R52" s="4"/>
      <c r="S52" s="4"/>
      <c r="T52" s="2"/>
      <c r="V52" s="21"/>
      <c r="W52" s="4"/>
      <c r="X52" s="4"/>
      <c r="Y52" s="2"/>
      <c r="Z52" s="2"/>
      <c r="AA52" s="21"/>
      <c r="AB52" s="4"/>
      <c r="AC52" s="4"/>
      <c r="AD52" s="2"/>
      <c r="AE52" s="2"/>
      <c r="AF52" s="2"/>
      <c r="AH52" s="21"/>
      <c r="AI52" s="4"/>
      <c r="AJ52" s="4"/>
      <c r="AK52" s="2"/>
      <c r="AL52" s="14"/>
      <c r="AM52" s="21"/>
      <c r="AN52" s="4"/>
      <c r="AO52" s="4"/>
      <c r="AP52" s="2"/>
      <c r="AQ52" s="14"/>
      <c r="AR52" s="2"/>
      <c r="AS52" s="14"/>
      <c r="AT52" s="21"/>
      <c r="AU52" s="4"/>
      <c r="AV52" s="4"/>
      <c r="AW52" s="2"/>
      <c r="AX52" s="2"/>
      <c r="AY52" s="21"/>
      <c r="AZ52" s="4"/>
      <c r="BA52" s="4"/>
      <c r="BB52" s="2"/>
      <c r="BC52" s="2"/>
      <c r="BD52" s="2"/>
      <c r="BE52" s="2"/>
      <c r="BF52" s="21"/>
      <c r="BG52" s="4"/>
      <c r="BH52" s="4"/>
      <c r="BI52" s="2"/>
      <c r="BJ52" s="2"/>
      <c r="BK52" s="21"/>
      <c r="BL52" s="4"/>
      <c r="BM52" s="4"/>
      <c r="BN52" s="2"/>
      <c r="BO52" s="2"/>
      <c r="BP52" s="2"/>
      <c r="BR52" s="21"/>
      <c r="BS52" s="4"/>
      <c r="BT52" s="4"/>
      <c r="BU52" s="2"/>
      <c r="BV52" s="2"/>
      <c r="BW52" s="21"/>
      <c r="BX52" s="4"/>
      <c r="BY52" s="4"/>
      <c r="BZ52" s="2"/>
      <c r="CA52" s="2"/>
      <c r="CB52" s="2"/>
      <c r="CC52" s="2"/>
      <c r="CD52" s="21"/>
      <c r="CE52" s="4"/>
      <c r="CF52" s="4"/>
      <c r="CG52" s="2"/>
      <c r="CH52" s="2"/>
      <c r="CI52" s="21"/>
      <c r="CJ52" s="4"/>
      <c r="CK52" s="4"/>
      <c r="CL52" s="2"/>
      <c r="CM52" s="2"/>
      <c r="CN52" s="2"/>
      <c r="CO52" s="2"/>
      <c r="CP52" s="21"/>
      <c r="CQ52" s="4"/>
      <c r="CR52" s="4"/>
      <c r="CS52" s="2"/>
      <c r="CT52" s="2"/>
      <c r="CU52" s="21"/>
      <c r="CV52" s="4"/>
      <c r="CW52" s="4"/>
      <c r="CX52" s="2"/>
      <c r="CY52" s="2"/>
      <c r="CZ52" s="2"/>
      <c r="DA52" s="2"/>
    </row>
    <row r="53" spans="1:105" x14ac:dyDescent="0.25">
      <c r="A53" s="6" t="s">
        <v>3</v>
      </c>
      <c r="B53" s="7">
        <v>5.0500000000000003E-2</v>
      </c>
      <c r="C53" s="13">
        <v>9574</v>
      </c>
      <c r="D53" s="13"/>
      <c r="E53" s="8">
        <f>-C53*B53</f>
        <v>-483.48700000000002</v>
      </c>
      <c r="G53" s="25"/>
      <c r="H53" s="25">
        <v>5.0500000000000003E-2</v>
      </c>
      <c r="I53" s="13">
        <v>10880</v>
      </c>
      <c r="J53" s="8">
        <f>-I53*H53</f>
        <v>-549.44000000000005</v>
      </c>
      <c r="L53" s="6"/>
      <c r="M53" s="25">
        <f t="shared" ref="M53:N53" si="28">H53</f>
        <v>5.0500000000000003E-2</v>
      </c>
      <c r="N53" s="13">
        <f t="shared" si="28"/>
        <v>10880</v>
      </c>
      <c r="O53" s="8">
        <f>-N53*M53</f>
        <v>-549.44000000000005</v>
      </c>
      <c r="Q53" s="6"/>
      <c r="R53" s="25">
        <f t="shared" ref="R53:S53" si="29">H53</f>
        <v>5.0500000000000003E-2</v>
      </c>
      <c r="S53" s="13">
        <f t="shared" si="29"/>
        <v>10880</v>
      </c>
      <c r="T53" s="8">
        <f>-S53*R53</f>
        <v>-549.44000000000005</v>
      </c>
      <c r="V53" s="6"/>
      <c r="W53" s="25">
        <f t="shared" ref="W53:X53" si="30">H53</f>
        <v>5.0500000000000003E-2</v>
      </c>
      <c r="X53" s="13">
        <f t="shared" si="30"/>
        <v>10880</v>
      </c>
      <c r="Y53" s="8">
        <f>-X53*W53</f>
        <v>-549.44000000000005</v>
      </c>
      <c r="Z53" s="8"/>
      <c r="AA53" s="6"/>
      <c r="AB53" s="25">
        <f t="shared" ref="AB53:AC53" si="31">H53</f>
        <v>5.0500000000000003E-2</v>
      </c>
      <c r="AC53" s="13">
        <f t="shared" si="31"/>
        <v>10880</v>
      </c>
      <c r="AD53" s="8">
        <f>-AC53*AB53</f>
        <v>-549.44000000000005</v>
      </c>
      <c r="AE53" s="8"/>
      <c r="AF53" s="8"/>
      <c r="AH53" s="6"/>
      <c r="AI53" s="25">
        <f>$H$53</f>
        <v>5.0500000000000003E-2</v>
      </c>
      <c r="AJ53" s="13">
        <f>$I$53</f>
        <v>10880</v>
      </c>
      <c r="AK53" s="8">
        <f>-AJ53*AI53</f>
        <v>-549.44000000000005</v>
      </c>
      <c r="AL53" s="112"/>
      <c r="AM53" s="6"/>
      <c r="AN53" s="25">
        <f>$H$53</f>
        <v>5.0500000000000003E-2</v>
      </c>
      <c r="AO53" s="13">
        <f>$I$53</f>
        <v>10880</v>
      </c>
      <c r="AP53" s="8">
        <f>-AO53*AN53</f>
        <v>-549.44000000000005</v>
      </c>
      <c r="AQ53" s="112"/>
      <c r="AR53" s="8"/>
      <c r="AS53" s="112"/>
      <c r="AT53" s="6"/>
      <c r="AU53" s="25">
        <f>$H$53</f>
        <v>5.0500000000000003E-2</v>
      </c>
      <c r="AV53" s="13">
        <f>$I$53</f>
        <v>10880</v>
      </c>
      <c r="AW53" s="8">
        <f>-AV53*AU53</f>
        <v>-549.44000000000005</v>
      </c>
      <c r="AX53" s="8"/>
      <c r="AY53" s="6"/>
      <c r="AZ53" s="25">
        <f>$H$53</f>
        <v>5.0500000000000003E-2</v>
      </c>
      <c r="BA53" s="13">
        <f>$I$53</f>
        <v>10880</v>
      </c>
      <c r="BB53" s="8">
        <f>-BA53*AZ53</f>
        <v>-549.44000000000005</v>
      </c>
      <c r="BC53" s="8"/>
      <c r="BD53" s="8"/>
      <c r="BE53" s="8"/>
      <c r="BF53" s="6"/>
      <c r="BG53" s="25">
        <f>$H$53</f>
        <v>5.0500000000000003E-2</v>
      </c>
      <c r="BH53" s="13">
        <f>$I$53</f>
        <v>10880</v>
      </c>
      <c r="BI53" s="8">
        <f>-BH53*BG53</f>
        <v>-549.44000000000005</v>
      </c>
      <c r="BJ53" s="8"/>
      <c r="BK53" s="6"/>
      <c r="BL53" s="25">
        <f>$H$53</f>
        <v>5.0500000000000003E-2</v>
      </c>
      <c r="BM53" s="13">
        <f>$I$53</f>
        <v>10880</v>
      </c>
      <c r="BN53" s="8">
        <f>-BM53*BL53</f>
        <v>-549.44000000000005</v>
      </c>
      <c r="BO53" s="8"/>
      <c r="BP53" s="8"/>
      <c r="BR53" s="6"/>
      <c r="BS53" s="25">
        <f>$H$53</f>
        <v>5.0500000000000003E-2</v>
      </c>
      <c r="BT53" s="13">
        <f>$I$53</f>
        <v>10880</v>
      </c>
      <c r="BU53" s="8">
        <f>-BT53*BS53</f>
        <v>-549.44000000000005</v>
      </c>
      <c r="BV53" s="8"/>
      <c r="BW53" s="6"/>
      <c r="BX53" s="25">
        <f>$H$53</f>
        <v>5.0500000000000003E-2</v>
      </c>
      <c r="BY53" s="13">
        <f>$I$53</f>
        <v>10880</v>
      </c>
      <c r="BZ53" s="8">
        <f>-BY53*BX53</f>
        <v>-549.44000000000005</v>
      </c>
      <c r="CA53" s="8"/>
      <c r="CB53" s="8"/>
      <c r="CC53" s="8"/>
      <c r="CD53" s="6"/>
      <c r="CE53" s="25">
        <f>$H$53</f>
        <v>5.0500000000000003E-2</v>
      </c>
      <c r="CF53" s="13">
        <f>$I$53</f>
        <v>10880</v>
      </c>
      <c r="CG53" s="8">
        <f>-CF53*CE53</f>
        <v>-549.44000000000005</v>
      </c>
      <c r="CH53" s="8"/>
      <c r="CI53" s="6"/>
      <c r="CJ53" s="25">
        <f>$H$53</f>
        <v>5.0500000000000003E-2</v>
      </c>
      <c r="CK53" s="13">
        <f>$I$53</f>
        <v>10880</v>
      </c>
      <c r="CL53" s="8">
        <f>-CK53*CJ53</f>
        <v>-549.44000000000005</v>
      </c>
      <c r="CM53" s="8"/>
      <c r="CN53" s="8"/>
      <c r="CO53" s="8"/>
      <c r="CP53" s="6"/>
      <c r="CQ53" s="25">
        <f>$H$53</f>
        <v>5.0500000000000003E-2</v>
      </c>
      <c r="CR53" s="13">
        <f>$I$53</f>
        <v>10880</v>
      </c>
      <c r="CS53" s="8">
        <f>-CR53*CQ53</f>
        <v>-549.44000000000005</v>
      </c>
      <c r="CT53" s="8"/>
      <c r="CU53" s="6"/>
      <c r="CV53" s="25">
        <f>$H$53</f>
        <v>5.0500000000000003E-2</v>
      </c>
      <c r="CW53" s="13">
        <f>$I$53</f>
        <v>10880</v>
      </c>
      <c r="CX53" s="8">
        <f>-CW53*CV53</f>
        <v>-549.44000000000005</v>
      </c>
      <c r="CY53" s="8"/>
      <c r="CZ53" s="8"/>
      <c r="DA53" s="8"/>
    </row>
    <row r="54" spans="1:105" x14ac:dyDescent="0.25">
      <c r="A54" s="19" t="s">
        <v>148</v>
      </c>
      <c r="B54" s="9">
        <v>4.4999999999999998E-2</v>
      </c>
      <c r="C54" s="13">
        <f>E14+E15</f>
        <v>0</v>
      </c>
      <c r="D54" s="13"/>
      <c r="E54" s="8">
        <f>-C54*B54</f>
        <v>0</v>
      </c>
      <c r="G54" s="19" t="s">
        <v>17</v>
      </c>
      <c r="H54" s="3"/>
      <c r="I54" s="3"/>
      <c r="M54" s="3"/>
      <c r="N54" s="3"/>
      <c r="R54" s="3"/>
      <c r="S54" s="3"/>
      <c r="W54" s="3"/>
      <c r="X54" s="3"/>
      <c r="Y54" s="1">
        <f>-(+MIN(200,Input!G35)*0.0505+0.1116*(IF(Input!G35&lt;=200,0,MAX(IF(Input!G35-200&lt;=0,0,Input!G35-200),200))))</f>
        <v>0</v>
      </c>
      <c r="AB54" s="3"/>
      <c r="AC54" s="3"/>
      <c r="AD54" s="1">
        <f>-(+MIN(200,Input!G35)*0.0505+0.1116*(IF(Input!G35&lt;=200,0,MAX(IF(Input!G35-200&lt;=0,0,Input!G35-200),200))))</f>
        <v>0</v>
      </c>
      <c r="AI54" s="3"/>
      <c r="AJ54" s="3"/>
      <c r="AK54" s="1">
        <f>-(+MIN(200,Input!G35)*0.0505+0.1116*(IF(Input!G35&lt;=200,0,MAX(IF(Input!G35-200&lt;=0,0,Input!G35-200),200))))</f>
        <v>0</v>
      </c>
      <c r="AN54" s="3"/>
      <c r="AO54" s="3"/>
      <c r="AP54" s="1">
        <f>-(+MIN(200,Input!G35)*0.0505+0.1116*(IF(Input!G35&lt;=200,0,MAX(IF(Input!G35-200&lt;=0,0,Input!G35-200),200))))</f>
        <v>0</v>
      </c>
      <c r="AU54" s="3"/>
      <c r="AV54" s="3"/>
      <c r="AW54" s="1">
        <f>-(+MIN(200,Input!H35)*0.0505+0.1116*(IF(Input!H35&lt;=200,0,MAX(IF(Input!H35-200&lt;=0,0,Input!H35-200),200))))</f>
        <v>0</v>
      </c>
      <c r="AZ54" s="3"/>
      <c r="BA54" s="3"/>
      <c r="BB54" s="1">
        <f>-(+MIN(200,Input!H35)*0.0505+0.1116*(IF(Input!H35&lt;=200,0,MAX(IF(Input!H35-200&lt;=0,0,Input!H35-200),200))))</f>
        <v>0</v>
      </c>
      <c r="BG54" s="3"/>
      <c r="BH54" s="3"/>
      <c r="BI54" s="1">
        <f>-(+MIN(200,Input!I35)*0.0505+0.1116*(IF(Input!I35&lt;=200,0,MAX(IF(Input!I35-200&lt;=0,0,Input!I35-200),200))))</f>
        <v>0</v>
      </c>
      <c r="BL54" s="3"/>
      <c r="BM54" s="3"/>
      <c r="BN54" s="1">
        <f>-(+MIN(200,Input!I35)*0.0505+0.1116*(IF(Input!I35&lt;=200,0,MAX(IF(Input!I35-200&lt;=0,0,Input!I35-200),200))))</f>
        <v>0</v>
      </c>
      <c r="BS54" s="3"/>
      <c r="BT54" s="3"/>
      <c r="BU54" s="1">
        <f>-(+MIN(200,Input!J35)*0.0505+0.1116*(IF(Input!J35&lt;=200,0,MAX(IF(Input!J35-200&lt;=0,0,Input!J35-200),200))))</f>
        <v>0</v>
      </c>
      <c r="BV54" s="1"/>
      <c r="BW54" s="1"/>
      <c r="BX54" s="1"/>
      <c r="BY54" s="1"/>
      <c r="BZ54" s="1">
        <f>-(+MIN(200,Input!J35)*0.0505+0.1116*(IF(Input!J35&lt;=200,0,MAX(IF(Input!J35-200&lt;=0,0,Input!J35-200),200))))</f>
        <v>0</v>
      </c>
      <c r="CA54" s="1"/>
      <c r="CE54" s="3"/>
      <c r="CF54" s="3"/>
      <c r="CG54" s="1">
        <f>-(+MIN(200,Input!K35)*0.0505+0.1116*(IF(Input!K35&lt;=200,0,MAX(IF(Input!K35-200&lt;=0,0,Input!K35-200),200))))</f>
        <v>0</v>
      </c>
      <c r="CJ54" s="3"/>
      <c r="CK54" s="3"/>
      <c r="CL54" s="1">
        <f>-(+MIN(200,Input!K35)*0.0505+0.1116*(IF(Input!K35&lt;=200,0,MAX(IF(Input!K35-200&lt;=0,0,Input!K35-200),200))))</f>
        <v>0</v>
      </c>
      <c r="CQ54" s="3"/>
      <c r="CR54" s="3"/>
      <c r="CS54" s="1">
        <f>-(+MIN(200,Input!L35)*0.0505+0.1116*(IF(Input!L35&lt;=200,0,MAX(IF(Input!L35-200&lt;=0,0,Input!L35-200),200))))</f>
        <v>0</v>
      </c>
      <c r="CT54" s="1"/>
      <c r="CU54" s="1"/>
      <c r="CV54" s="1"/>
      <c r="CW54" s="1"/>
      <c r="CX54" s="1">
        <f>-(+MIN(200,Input!L35)*0.0505+0.1116*(IF(Input!L35&lt;=200,0,MAX(IF(Input!L35-200&lt;=0,0,Input!L35-200),200))))</f>
        <v>0</v>
      </c>
    </row>
    <row r="55" spans="1:105" x14ac:dyDescent="0.25">
      <c r="A55" s="6" t="s">
        <v>99</v>
      </c>
      <c r="C55" s="3"/>
      <c r="D55" s="3"/>
      <c r="H55" s="3"/>
      <c r="I55" s="3"/>
      <c r="M55" s="3"/>
      <c r="N55" s="3"/>
      <c r="R55" s="3"/>
      <c r="S55" s="3"/>
      <c r="W55" s="3"/>
      <c r="X55" s="3"/>
      <c r="Y55" s="1">
        <f>-Input!G38*0.0505</f>
        <v>0</v>
      </c>
      <c r="Z55" s="1"/>
      <c r="AA55" s="1"/>
      <c r="AB55" s="1"/>
      <c r="AC55" s="1"/>
      <c r="AD55" s="1">
        <f>-Input!G38*0.0505</f>
        <v>0</v>
      </c>
      <c r="AE55" s="1"/>
      <c r="AI55" s="3"/>
      <c r="AJ55" s="3"/>
      <c r="AK55" s="1">
        <f>-Input!G38*0.0505</f>
        <v>0</v>
      </c>
      <c r="AN55" s="3"/>
      <c r="AO55" s="3"/>
      <c r="AP55" s="1">
        <f>-Input!G38*0.0505</f>
        <v>0</v>
      </c>
      <c r="AU55" s="3"/>
      <c r="AV55" s="3"/>
      <c r="AW55" s="1">
        <f>-Input!H38*0.0505</f>
        <v>0</v>
      </c>
      <c r="AZ55" s="3"/>
      <c r="BA55" s="3"/>
      <c r="BB55" s="1">
        <f>-Input!H38*0.0505</f>
        <v>0</v>
      </c>
      <c r="BG55" s="3"/>
      <c r="BH55" s="3"/>
      <c r="BI55" s="1">
        <f>-Input!I38*0.0505</f>
        <v>0</v>
      </c>
      <c r="BL55" s="3"/>
      <c r="BM55" s="3"/>
      <c r="BN55" s="1">
        <f>-Input!I38*0.0505</f>
        <v>0</v>
      </c>
      <c r="BS55" s="3"/>
      <c r="BT55" s="3"/>
      <c r="BU55" s="1">
        <f>-Input!J38*0.0505</f>
        <v>0</v>
      </c>
      <c r="BV55" s="1"/>
      <c r="BW55" s="1"/>
      <c r="BX55" s="1"/>
      <c r="BY55" s="1"/>
      <c r="BZ55" s="1">
        <f>-Input!J38*0.0505</f>
        <v>0</v>
      </c>
      <c r="CE55" s="3"/>
      <c r="CF55" s="3"/>
      <c r="CG55" s="1">
        <f>-Input!K38*0.0505</f>
        <v>0</v>
      </c>
      <c r="CJ55" s="3"/>
      <c r="CK55" s="3"/>
      <c r="CL55" s="1">
        <f>-Input!K38*0.0505</f>
        <v>0</v>
      </c>
      <c r="CQ55" s="3"/>
      <c r="CR55" s="3"/>
      <c r="CS55" s="1">
        <f>-Input!W30*0.0505</f>
        <v>0</v>
      </c>
      <c r="CT55" s="1"/>
      <c r="CU55" s="1"/>
      <c r="CV55" s="1"/>
      <c r="CW55" s="1"/>
      <c r="CX55" s="1">
        <f>-Input!W30*0.0505</f>
        <v>0</v>
      </c>
    </row>
    <row r="56" spans="1:105" x14ac:dyDescent="0.25">
      <c r="A56" s="21" t="s">
        <v>8</v>
      </c>
      <c r="C56" s="3"/>
      <c r="D56" s="3"/>
      <c r="E56" s="11">
        <f>SUM(E49:E54)</f>
        <v>7610.4616999999998</v>
      </c>
      <c r="G56" s="20"/>
      <c r="H56" s="29"/>
      <c r="I56" s="29"/>
      <c r="J56" s="49">
        <f>SUM(J49:J55)</f>
        <v>58825.453000000001</v>
      </c>
      <c r="L56" s="20"/>
      <c r="M56" s="29"/>
      <c r="N56" s="29"/>
      <c r="O56" s="49">
        <f>SUM(O49:O54)</f>
        <v>61549.572999999997</v>
      </c>
      <c r="Q56" s="20"/>
      <c r="R56" s="29"/>
      <c r="S56" s="29"/>
      <c r="T56" s="49">
        <f>SUM(T49:T54)</f>
        <v>57884.512999999999</v>
      </c>
      <c r="V56" s="20"/>
      <c r="W56" s="29"/>
      <c r="X56" s="29"/>
      <c r="Y56" s="49">
        <f>SUM(Y49:Y55)</f>
        <v>-549.44000000000005</v>
      </c>
      <c r="Z56" s="108"/>
      <c r="AA56" s="20"/>
      <c r="AB56" s="29"/>
      <c r="AC56" s="29"/>
      <c r="AD56" s="49">
        <f>SUM(AD49:AD55)</f>
        <v>-549.44000000000005</v>
      </c>
      <c r="AE56" s="108"/>
      <c r="AF56" s="108"/>
      <c r="AH56" s="20"/>
      <c r="AI56" s="29"/>
      <c r="AJ56" s="29"/>
      <c r="AK56" s="49">
        <f>SUM(AK49:AK55)</f>
        <v>-549.44000000000005</v>
      </c>
      <c r="AL56" s="114"/>
      <c r="AM56" s="20"/>
      <c r="AN56" s="29"/>
      <c r="AO56" s="29"/>
      <c r="AP56" s="49">
        <f>SUM(AP49:AP55)</f>
        <v>-549.44000000000005</v>
      </c>
      <c r="AQ56" s="114"/>
      <c r="AR56" s="108"/>
      <c r="AS56" s="114"/>
      <c r="AT56" s="20"/>
      <c r="AU56" s="29"/>
      <c r="AV56" s="29"/>
      <c r="AW56" s="49">
        <f>SUM(AW49:AW55)</f>
        <v>-549.44000000000005</v>
      </c>
      <c r="AX56" s="108"/>
      <c r="AY56" s="20"/>
      <c r="AZ56" s="29"/>
      <c r="BA56" s="29"/>
      <c r="BB56" s="49">
        <f>SUM(BB49:BB55)</f>
        <v>-549.44000000000005</v>
      </c>
      <c r="BC56" s="108"/>
      <c r="BD56" s="108"/>
      <c r="BE56" s="108"/>
      <c r="BF56" s="20"/>
      <c r="BG56" s="29"/>
      <c r="BH56" s="29"/>
      <c r="BI56" s="49">
        <f>SUM(BI49:BI55)</f>
        <v>-549.44000000000005</v>
      </c>
      <c r="BJ56" s="108"/>
      <c r="BK56" s="20"/>
      <c r="BL56" s="29"/>
      <c r="BM56" s="29"/>
      <c r="BN56" s="49">
        <f>SUM(BN49:BN55)</f>
        <v>-549.44000000000005</v>
      </c>
      <c r="BO56" s="108"/>
      <c r="BP56" s="108"/>
      <c r="BR56" s="20"/>
      <c r="BS56" s="29"/>
      <c r="BT56" s="29"/>
      <c r="BU56" s="49">
        <f>SUM(BU49:BU55)</f>
        <v>-549.44000000000005</v>
      </c>
      <c r="BV56" s="108"/>
      <c r="BW56" s="20"/>
      <c r="BX56" s="29"/>
      <c r="BY56" s="29"/>
      <c r="BZ56" s="49">
        <f>SUM(BZ49:BZ55)</f>
        <v>-549.44000000000005</v>
      </c>
      <c r="CA56" s="108"/>
      <c r="CB56" s="108"/>
      <c r="CC56" s="108"/>
      <c r="CD56" s="20"/>
      <c r="CE56" s="29"/>
      <c r="CF56" s="29"/>
      <c r="CG56" s="49">
        <f>SUM(CG49:CG55)</f>
        <v>-549.44000000000005</v>
      </c>
      <c r="CH56" s="108"/>
      <c r="CI56" s="20"/>
      <c r="CJ56" s="29"/>
      <c r="CK56" s="29"/>
      <c r="CL56" s="49">
        <f>SUM(CL49:CL55)</f>
        <v>-549.44000000000005</v>
      </c>
      <c r="CM56" s="108"/>
      <c r="CN56" s="108"/>
      <c r="CO56" s="108"/>
      <c r="CP56" s="20"/>
      <c r="CQ56" s="29"/>
      <c r="CR56" s="29"/>
      <c r="CS56" s="49">
        <f>SUM(CS49:CS55)</f>
        <v>-549.44000000000005</v>
      </c>
      <c r="CT56" s="108"/>
      <c r="CU56" s="20"/>
      <c r="CV56" s="29"/>
      <c r="CW56" s="29"/>
      <c r="CX56" s="49">
        <f>SUM(CX49:CX55)</f>
        <v>-549.44000000000005</v>
      </c>
      <c r="CY56" s="108"/>
      <c r="CZ56" s="108"/>
      <c r="DA56" s="108"/>
    </row>
    <row r="57" spans="1:105" x14ac:dyDescent="0.25">
      <c r="C57" s="3"/>
      <c r="D57" s="3"/>
      <c r="H57" s="3"/>
      <c r="I57" s="3"/>
      <c r="M57" s="3"/>
      <c r="N57" s="3"/>
      <c r="R57" s="3"/>
      <c r="S57" s="3"/>
      <c r="W57" s="3"/>
      <c r="X57" s="3"/>
      <c r="AB57" s="3"/>
      <c r="AC57" s="3"/>
      <c r="AI57" s="3"/>
      <c r="AJ57" s="3"/>
      <c r="AN57" s="3"/>
      <c r="AO57" s="3"/>
      <c r="AU57" s="3"/>
      <c r="AV57" s="3"/>
      <c r="AZ57" s="3"/>
      <c r="BA57" s="3"/>
      <c r="BG57" s="3"/>
      <c r="BH57" s="3"/>
      <c r="BL57" s="3"/>
      <c r="BM57" s="3"/>
      <c r="BS57" s="3"/>
      <c r="BT57" s="3"/>
      <c r="BX57" s="3"/>
      <c r="BY57" s="3"/>
      <c r="CE57" s="3"/>
      <c r="CF57" s="3"/>
      <c r="CJ57" s="3"/>
      <c r="CK57" s="3"/>
      <c r="CQ57" s="3"/>
      <c r="CR57" s="3"/>
      <c r="CV57" s="3"/>
      <c r="CW57" s="3"/>
    </row>
    <row r="58" spans="1:105" x14ac:dyDescent="0.25">
      <c r="A58" s="21" t="s">
        <v>9</v>
      </c>
      <c r="C58" s="3"/>
      <c r="D58" s="3"/>
      <c r="G58" s="21"/>
      <c r="H58" s="3"/>
      <c r="I58" s="3"/>
      <c r="L58" s="21"/>
      <c r="M58" s="3"/>
      <c r="N58" s="3"/>
      <c r="Q58" s="21"/>
      <c r="R58" s="3"/>
      <c r="S58" s="3"/>
      <c r="V58" s="21"/>
      <c r="W58" s="3"/>
      <c r="X58" s="3"/>
      <c r="AA58" s="21"/>
      <c r="AB58" s="3"/>
      <c r="AC58" s="3"/>
      <c r="AH58" s="21"/>
      <c r="AI58" s="3"/>
      <c r="AJ58" s="3"/>
      <c r="AM58" s="21"/>
      <c r="AN58" s="3"/>
      <c r="AO58" s="3"/>
      <c r="AT58" s="21"/>
      <c r="AU58" s="3"/>
      <c r="AV58" s="3"/>
      <c r="AY58" s="21"/>
      <c r="AZ58" s="3"/>
      <c r="BA58" s="3"/>
      <c r="BF58" s="21"/>
      <c r="BG58" s="3"/>
      <c r="BH58" s="3"/>
      <c r="BK58" s="21"/>
      <c r="BL58" s="3"/>
      <c r="BM58" s="3"/>
      <c r="BR58" s="21"/>
      <c r="BS58" s="3"/>
      <c r="BT58" s="3"/>
      <c r="BW58" s="21"/>
      <c r="BX58" s="3"/>
      <c r="BY58" s="3"/>
      <c r="CD58" s="21"/>
      <c r="CE58" s="3"/>
      <c r="CF58" s="3"/>
      <c r="CI58" s="21"/>
      <c r="CJ58" s="3"/>
      <c r="CK58" s="3"/>
      <c r="CP58" s="21"/>
      <c r="CQ58" s="3"/>
      <c r="CR58" s="3"/>
      <c r="CU58" s="21"/>
      <c r="CV58" s="3"/>
      <c r="CW58" s="3"/>
    </row>
    <row r="59" spans="1:105" x14ac:dyDescent="0.25">
      <c r="B59" s="22">
        <v>0.2</v>
      </c>
      <c r="C59" s="3">
        <v>4289</v>
      </c>
      <c r="D59" s="3"/>
      <c r="E59" s="10">
        <f>IF((E$56-C59)*B59&gt;0,(E$56-C59)*B59,0)</f>
        <v>664.29233999999997</v>
      </c>
      <c r="G59" s="23">
        <v>0.2</v>
      </c>
      <c r="H59" s="3">
        <v>4875</v>
      </c>
      <c r="I59" s="3"/>
      <c r="J59" s="10">
        <f>IF((J$56-H59)*G59&gt;0,(J$56-H59)*G59,0)</f>
        <v>10790.090600000001</v>
      </c>
      <c r="L59" s="23">
        <f t="shared" ref="L59:M60" si="32">G59</f>
        <v>0.2</v>
      </c>
      <c r="M59" s="3">
        <f t="shared" si="32"/>
        <v>4875</v>
      </c>
      <c r="N59" s="3"/>
      <c r="O59" s="10">
        <f>IF((O$56-M59)*L59&gt;0,(O$56-M59)*L59,0)</f>
        <v>11334.9146</v>
      </c>
      <c r="Q59" s="23">
        <f t="shared" ref="Q59:R60" si="33">G59</f>
        <v>0.2</v>
      </c>
      <c r="R59" s="3">
        <f t="shared" si="33"/>
        <v>4875</v>
      </c>
      <c r="S59" s="3"/>
      <c r="T59" s="10">
        <f>IF((T$56-R59)*Q59&gt;0,(T$56-R59)*Q59,0)</f>
        <v>10601.902600000001</v>
      </c>
      <c r="V59" s="23">
        <f t="shared" ref="V59:W60" si="34">G59</f>
        <v>0.2</v>
      </c>
      <c r="W59" s="3">
        <f t="shared" si="34"/>
        <v>4875</v>
      </c>
      <c r="X59" s="3"/>
      <c r="Y59" s="10">
        <f>IF((Y$56-W59)*V59&gt;0,(Y$56-W59)*V59,0)</f>
        <v>0</v>
      </c>
      <c r="Z59" s="10"/>
      <c r="AA59" s="23">
        <f t="shared" ref="AA59:AB60" si="35">G59</f>
        <v>0.2</v>
      </c>
      <c r="AB59" s="3">
        <f t="shared" si="35"/>
        <v>4875</v>
      </c>
      <c r="AC59" s="3"/>
      <c r="AD59" s="10">
        <f>IF((AD$56-AB59)*AA59&gt;0,(AD$56-AB59)*AA59,0)</f>
        <v>0</v>
      </c>
      <c r="AE59" s="10"/>
      <c r="AF59" s="10"/>
      <c r="AH59" s="23">
        <f>$G$59</f>
        <v>0.2</v>
      </c>
      <c r="AI59" s="3">
        <f>$H$59</f>
        <v>4875</v>
      </c>
      <c r="AJ59" s="3"/>
      <c r="AK59" s="10">
        <f>IF((AK$56-AI59)*AH59&gt;0,(AK$56-AI59)*AH59,0)</f>
        <v>0</v>
      </c>
      <c r="AL59" s="102"/>
      <c r="AM59" s="23">
        <f>$G$59</f>
        <v>0.2</v>
      </c>
      <c r="AN59" s="3">
        <f>$H$59</f>
        <v>4875</v>
      </c>
      <c r="AO59" s="3"/>
      <c r="AP59" s="10">
        <f>IF((AP$56-AN59)*AM59&gt;0,(AP$56-AN59)*AM59,0)</f>
        <v>0</v>
      </c>
      <c r="AQ59" s="102"/>
      <c r="AR59" s="10"/>
      <c r="AS59" s="102"/>
      <c r="AT59" s="23">
        <f>$G$59</f>
        <v>0.2</v>
      </c>
      <c r="AU59" s="3">
        <f>$H$59</f>
        <v>4875</v>
      </c>
      <c r="AV59" s="3"/>
      <c r="AW59" s="10">
        <f>IF((AW$56-AU59)*AT59&gt;0,(AW$56-AU59)*AT59,0)</f>
        <v>0</v>
      </c>
      <c r="AX59" s="10"/>
      <c r="AY59" s="23">
        <f>$G$59</f>
        <v>0.2</v>
      </c>
      <c r="AZ59" s="3">
        <f>$H$59</f>
        <v>4875</v>
      </c>
      <c r="BA59" s="3"/>
      <c r="BB59" s="10">
        <f>IF((BB$56-AZ59)*AY59&gt;0,(BB$56-AZ59)*AY59,0)</f>
        <v>0</v>
      </c>
      <c r="BC59" s="10"/>
      <c r="BD59" s="10"/>
      <c r="BE59" s="10"/>
      <c r="BF59" s="23">
        <f>$G$59</f>
        <v>0.2</v>
      </c>
      <c r="BG59" s="3">
        <f>$H$59</f>
        <v>4875</v>
      </c>
      <c r="BH59" s="3"/>
      <c r="BI59" s="10">
        <f>IF((BI$56-BG59)*BF59&gt;0,(BI$56-BG59)*BF59,0)</f>
        <v>0</v>
      </c>
      <c r="BJ59" s="10"/>
      <c r="BK59" s="23">
        <f>$G$59</f>
        <v>0.2</v>
      </c>
      <c r="BL59" s="3">
        <f>$H$59</f>
        <v>4875</v>
      </c>
      <c r="BM59" s="3"/>
      <c r="BN59" s="10">
        <f>IF((BN$56-BL59)*BK59&gt;0,(BN$56-BL59)*BK59,0)</f>
        <v>0</v>
      </c>
      <c r="BO59" s="10"/>
      <c r="BP59" s="10"/>
      <c r="BR59" s="23">
        <f>$G$59</f>
        <v>0.2</v>
      </c>
      <c r="BS59" s="3">
        <f>$H$59</f>
        <v>4875</v>
      </c>
      <c r="BT59" s="3"/>
      <c r="BU59" s="10">
        <f>IF((BU$56-BS59)*BR59&gt;0,(BU$56-BS59)*BR59,0)</f>
        <v>0</v>
      </c>
      <c r="BV59" s="10"/>
      <c r="BW59" s="23">
        <f>$G$59</f>
        <v>0.2</v>
      </c>
      <c r="BX59" s="3">
        <f>$H$59</f>
        <v>4875</v>
      </c>
      <c r="BY59" s="3"/>
      <c r="BZ59" s="10">
        <f>IF((BZ$56-BX59)*BW59&gt;0,(BZ$56-BX59)*BW59,0)</f>
        <v>0</v>
      </c>
      <c r="CA59" s="10"/>
      <c r="CB59" s="10"/>
      <c r="CC59" s="10"/>
      <c r="CD59" s="23">
        <f>$G$59</f>
        <v>0.2</v>
      </c>
      <c r="CE59" s="3">
        <f>$H$59</f>
        <v>4875</v>
      </c>
      <c r="CF59" s="3"/>
      <c r="CG59" s="10">
        <f>IF((CG$56-CE59)*CD59&gt;0,(CG$56-CE59)*CD59,0)</f>
        <v>0</v>
      </c>
      <c r="CH59" s="10"/>
      <c r="CI59" s="23">
        <f>$G$59</f>
        <v>0.2</v>
      </c>
      <c r="CJ59" s="3">
        <f>$H$59</f>
        <v>4875</v>
      </c>
      <c r="CK59" s="3"/>
      <c r="CL59" s="10">
        <f>IF((CL$56-CJ59)*CI59&gt;0,(CL$56-CJ59)*CI59,0)</f>
        <v>0</v>
      </c>
      <c r="CM59" s="10"/>
      <c r="CN59" s="10"/>
      <c r="CO59" s="10"/>
      <c r="CP59" s="23">
        <f>$G$59</f>
        <v>0.2</v>
      </c>
      <c r="CQ59" s="3">
        <f>$H$59</f>
        <v>4875</v>
      </c>
      <c r="CR59" s="3"/>
      <c r="CS59" s="10">
        <f>IF((CS$56-CQ59)*CP59&gt;0,(CS$56-CQ59)*CP59,0)</f>
        <v>0</v>
      </c>
      <c r="CT59" s="10"/>
      <c r="CU59" s="23">
        <f>$G$59</f>
        <v>0.2</v>
      </c>
      <c r="CV59" s="3">
        <f>$H$59</f>
        <v>4875</v>
      </c>
      <c r="CW59" s="3"/>
      <c r="CX59" s="10">
        <f>IF((CX$56-CV59)*CU59&gt;0,(CX$56-CV59)*CU59,0)</f>
        <v>0</v>
      </c>
      <c r="CY59" s="10"/>
      <c r="CZ59" s="10"/>
      <c r="DA59" s="10"/>
    </row>
    <row r="60" spans="1:105" x14ac:dyDescent="0.25">
      <c r="B60" s="22">
        <v>0.36</v>
      </c>
      <c r="C60" s="3">
        <v>5489</v>
      </c>
      <c r="D60" s="3"/>
      <c r="E60" s="10">
        <f>IF((E$56-C60)*B60&gt;0,(E$56-C60)*B60,0)</f>
        <v>763.72621199999992</v>
      </c>
      <c r="G60" s="23">
        <v>0.36</v>
      </c>
      <c r="H60" s="3">
        <v>6238</v>
      </c>
      <c r="I60" s="3"/>
      <c r="J60" s="10">
        <f>IF((J$56-H60)*G60&gt;0,(J$56-H60)*G60,0)</f>
        <v>18931.483079999998</v>
      </c>
      <c r="L60" s="23">
        <f t="shared" si="32"/>
        <v>0.36</v>
      </c>
      <c r="M60" s="3">
        <f t="shared" si="32"/>
        <v>6238</v>
      </c>
      <c r="N60" s="3"/>
      <c r="O60" s="10">
        <f>IF((O$56-M60)*L60&gt;0,(O$56-M60)*L60,0)</f>
        <v>19912.166279999998</v>
      </c>
      <c r="Q60" s="23">
        <f t="shared" si="33"/>
        <v>0.36</v>
      </c>
      <c r="R60" s="3">
        <f t="shared" si="33"/>
        <v>6238</v>
      </c>
      <c r="S60" s="3"/>
      <c r="T60" s="10">
        <f>IF((T$56-R60)*Q60&gt;0,(T$56-R60)*Q60,0)</f>
        <v>18592.74468</v>
      </c>
      <c r="V60" s="23">
        <f t="shared" si="34"/>
        <v>0.36</v>
      </c>
      <c r="W60" s="3">
        <f t="shared" si="34"/>
        <v>6238</v>
      </c>
      <c r="X60" s="3"/>
      <c r="Y60" s="10">
        <f>IF((Y$56-W60)*V60&gt;0,(Y$56-W60)*V60,0)</f>
        <v>0</v>
      </c>
      <c r="Z60" s="10"/>
      <c r="AA60" s="23">
        <f t="shared" si="35"/>
        <v>0.36</v>
      </c>
      <c r="AB60" s="3">
        <f t="shared" si="35"/>
        <v>6238</v>
      </c>
      <c r="AC60" s="3"/>
      <c r="AD60" s="10">
        <f>IF((AD$56-AB60)*AA60&gt;0,(AD$56-AB60)*AA60,0)</f>
        <v>0</v>
      </c>
      <c r="AE60" s="10"/>
      <c r="AF60" s="10"/>
      <c r="AH60" s="23">
        <f>$G$60</f>
        <v>0.36</v>
      </c>
      <c r="AI60" s="3">
        <f>$H$60</f>
        <v>6238</v>
      </c>
      <c r="AJ60" s="3"/>
      <c r="AK60" s="10">
        <f>IF((AK$56-AI60)*AH60&gt;0,(AK$56-AI60)*AH60,0)</f>
        <v>0</v>
      </c>
      <c r="AL60" s="102"/>
      <c r="AM60" s="23">
        <f>$G$60</f>
        <v>0.36</v>
      </c>
      <c r="AN60" s="3">
        <f>$H$60</f>
        <v>6238</v>
      </c>
      <c r="AO60" s="3"/>
      <c r="AP60" s="10">
        <f>IF((AP$56-AN60)*AM60&gt;0,(AP$56-AN60)*AM60,0)</f>
        <v>0</v>
      </c>
      <c r="AQ60" s="102"/>
      <c r="AR60" s="10"/>
      <c r="AS60" s="102"/>
      <c r="AT60" s="23">
        <f>$G$60</f>
        <v>0.36</v>
      </c>
      <c r="AU60" s="3">
        <f>$H$60</f>
        <v>6238</v>
      </c>
      <c r="AV60" s="3"/>
      <c r="AW60" s="10">
        <f>IF((AW$56-AU60)*AT60&gt;0,(AW$56-AU60)*AT60,0)</f>
        <v>0</v>
      </c>
      <c r="AX60" s="10"/>
      <c r="AY60" s="23">
        <f>$G$60</f>
        <v>0.36</v>
      </c>
      <c r="AZ60" s="3">
        <f>$H$60</f>
        <v>6238</v>
      </c>
      <c r="BA60" s="3"/>
      <c r="BB60" s="10">
        <f>IF((BB$56-AZ60)*AY60&gt;0,(BB$56-AZ60)*AY60,0)</f>
        <v>0</v>
      </c>
      <c r="BC60" s="10"/>
      <c r="BD60" s="10"/>
      <c r="BE60" s="10"/>
      <c r="BF60" s="23">
        <f>$G$60</f>
        <v>0.36</v>
      </c>
      <c r="BG60" s="3">
        <f>$H$60</f>
        <v>6238</v>
      </c>
      <c r="BH60" s="3"/>
      <c r="BI60" s="10">
        <f>IF((BI$56-BG60)*BF60&gt;0,(BI$56-BG60)*BF60,0)</f>
        <v>0</v>
      </c>
      <c r="BJ60" s="10"/>
      <c r="BK60" s="23">
        <f>$G$60</f>
        <v>0.36</v>
      </c>
      <c r="BL60" s="3">
        <f>$H$60</f>
        <v>6238</v>
      </c>
      <c r="BM60" s="3"/>
      <c r="BN60" s="10">
        <f>IF((BN$56-BL60)*BK60&gt;0,(BN$56-BL60)*BK60,0)</f>
        <v>0</v>
      </c>
      <c r="BO60" s="10"/>
      <c r="BP60" s="10"/>
      <c r="BR60" s="23">
        <f>$G$60</f>
        <v>0.36</v>
      </c>
      <c r="BS60" s="3">
        <f>$H$60</f>
        <v>6238</v>
      </c>
      <c r="BT60" s="3"/>
      <c r="BU60" s="10">
        <f>IF((BU$56-BS60)*BR60&gt;0,(BU$56-BS60)*BR60,0)</f>
        <v>0</v>
      </c>
      <c r="BV60" s="10"/>
      <c r="BW60" s="23">
        <f>$G$60</f>
        <v>0.36</v>
      </c>
      <c r="BX60" s="3">
        <f>$H$60</f>
        <v>6238</v>
      </c>
      <c r="BY60" s="3"/>
      <c r="BZ60" s="10">
        <f>IF((BZ$56-BX60)*BW60&gt;0,(BZ$56-BX60)*BW60,0)</f>
        <v>0</v>
      </c>
      <c r="CA60" s="10"/>
      <c r="CB60" s="10"/>
      <c r="CC60" s="10"/>
      <c r="CD60" s="23">
        <f>$G$60</f>
        <v>0.36</v>
      </c>
      <c r="CE60" s="3">
        <f>$H$60</f>
        <v>6238</v>
      </c>
      <c r="CF60" s="3"/>
      <c r="CG60" s="10">
        <f>IF((CG$56-CE60)*CD60&gt;0,(CG$56-CE60)*CD60,0)</f>
        <v>0</v>
      </c>
      <c r="CH60" s="10"/>
      <c r="CI60" s="23">
        <f>$G$60</f>
        <v>0.36</v>
      </c>
      <c r="CJ60" s="3">
        <f>$H$60</f>
        <v>6238</v>
      </c>
      <c r="CK60" s="3"/>
      <c r="CL60" s="10">
        <f>IF((CL$56-CJ60)*CI60&gt;0,(CL$56-CJ60)*CI60,0)</f>
        <v>0</v>
      </c>
      <c r="CM60" s="10"/>
      <c r="CN60" s="10"/>
      <c r="CO60" s="10"/>
      <c r="CP60" s="23">
        <f>$G$60</f>
        <v>0.36</v>
      </c>
      <c r="CQ60" s="3">
        <f>$H$60</f>
        <v>6238</v>
      </c>
      <c r="CR60" s="3"/>
      <c r="CS60" s="10">
        <f>IF((CS$56-CQ60)*CP60&gt;0,(CS$56-CQ60)*CP60,0)</f>
        <v>0</v>
      </c>
      <c r="CT60" s="10"/>
      <c r="CU60" s="23">
        <f>$G$60</f>
        <v>0.36</v>
      </c>
      <c r="CV60" s="3">
        <f>$H$60</f>
        <v>6238</v>
      </c>
      <c r="CW60" s="3"/>
      <c r="CX60" s="10">
        <f>IF((CX$56-CV60)*CU60&gt;0,(CX$56-CV60)*CU60,0)</f>
        <v>0</v>
      </c>
      <c r="CY60" s="10"/>
      <c r="CZ60" s="10"/>
      <c r="DA60" s="10"/>
    </row>
    <row r="61" spans="1:105" x14ac:dyDescent="0.25">
      <c r="B61" s="22"/>
      <c r="C61" s="3"/>
      <c r="D61" s="3"/>
      <c r="E61" s="10"/>
      <c r="H61" s="3"/>
      <c r="I61" s="3"/>
      <c r="K61" s="10"/>
      <c r="M61" s="3"/>
      <c r="N61" s="3"/>
      <c r="R61" s="3"/>
      <c r="S61" s="3"/>
      <c r="W61" s="3"/>
      <c r="X61" s="3"/>
      <c r="AB61" s="3"/>
      <c r="AC61" s="3"/>
      <c r="AI61" s="3"/>
      <c r="AJ61" s="3"/>
      <c r="AN61" s="3"/>
      <c r="AO61" s="3"/>
      <c r="AU61" s="3"/>
      <c r="AV61" s="3"/>
      <c r="AZ61" s="3"/>
      <c r="BA61" s="3"/>
      <c r="BG61" s="3"/>
      <c r="BH61" s="3"/>
      <c r="BL61" s="3"/>
      <c r="BM61" s="3"/>
      <c r="BS61" s="3"/>
      <c r="BT61" s="3"/>
      <c r="BX61" s="3"/>
      <c r="BY61" s="3"/>
      <c r="CE61" s="3"/>
      <c r="CF61" s="3"/>
      <c r="CJ61" s="3"/>
      <c r="CK61" s="3"/>
      <c r="CQ61" s="3"/>
      <c r="CR61" s="3"/>
      <c r="CV61" s="3"/>
      <c r="CW61" s="3"/>
    </row>
    <row r="62" spans="1:105" x14ac:dyDescent="0.25">
      <c r="A62" s="19" t="s">
        <v>29</v>
      </c>
      <c r="C62" s="3"/>
      <c r="D62" s="3"/>
      <c r="E62" s="1"/>
      <c r="G62" s="9">
        <v>2.9863000000000001E-2</v>
      </c>
      <c r="H62" s="13">
        <f>J14+J15</f>
        <v>0</v>
      </c>
      <c r="I62" s="3"/>
      <c r="J62" s="8">
        <f>-H62*G62</f>
        <v>0</v>
      </c>
      <c r="K62" s="10"/>
      <c r="L62" s="9">
        <f t="shared" ref="L62:L63" si="36">G62</f>
        <v>2.9863000000000001E-2</v>
      </c>
      <c r="M62" s="13">
        <f>O14+O15</f>
        <v>389850</v>
      </c>
      <c r="N62" s="3"/>
      <c r="O62" s="8">
        <f>-M62*L62</f>
        <v>-11642.090550000001</v>
      </c>
      <c r="Q62" s="9">
        <f>$G$62</f>
        <v>2.9863000000000001E-2</v>
      </c>
      <c r="R62" s="13">
        <f>T14+T15</f>
        <v>0</v>
      </c>
      <c r="S62" s="3"/>
      <c r="T62" s="8">
        <f>-R62*Q62</f>
        <v>0</v>
      </c>
      <c r="V62" s="9">
        <f t="shared" ref="V62:V63" si="37">G62</f>
        <v>2.9863000000000001E-2</v>
      </c>
      <c r="W62" s="13">
        <f>Y14+Y15</f>
        <v>0</v>
      </c>
      <c r="X62" s="3"/>
      <c r="Y62" s="8">
        <f>-W62*V62</f>
        <v>0</v>
      </c>
      <c r="Z62" s="8"/>
      <c r="AA62" s="9">
        <f t="shared" ref="AA62:AA63" si="38">G62</f>
        <v>2.9863000000000001E-2</v>
      </c>
      <c r="AB62" s="13">
        <f>AD14+AD15</f>
        <v>0</v>
      </c>
      <c r="AC62" s="3"/>
      <c r="AD62" s="8">
        <f>-AB62*AA62</f>
        <v>0</v>
      </c>
      <c r="AE62" s="8"/>
      <c r="AF62" s="8"/>
      <c r="AH62" s="9">
        <f>$G$62</f>
        <v>2.9863000000000001E-2</v>
      </c>
      <c r="AI62" s="13">
        <f>AK14+AK15</f>
        <v>0</v>
      </c>
      <c r="AJ62" s="3"/>
      <c r="AK62" s="8">
        <f>-AI62*AH62</f>
        <v>0</v>
      </c>
      <c r="AL62" s="112"/>
      <c r="AM62" s="9">
        <f>$G$62</f>
        <v>2.9863000000000001E-2</v>
      </c>
      <c r="AN62" s="13">
        <f>AP14+AP15</f>
        <v>0</v>
      </c>
      <c r="AO62" s="3"/>
      <c r="AP62" s="8">
        <f>-AN62*AM62</f>
        <v>0</v>
      </c>
      <c r="AQ62" s="112"/>
      <c r="AR62" s="8"/>
      <c r="AS62" s="112"/>
      <c r="AT62" s="9">
        <f>$G$62</f>
        <v>2.9863000000000001E-2</v>
      </c>
      <c r="AU62" s="13">
        <f>AW14+AW15</f>
        <v>0</v>
      </c>
      <c r="AV62" s="3"/>
      <c r="AW62" s="8">
        <f>-AU62*AT62</f>
        <v>0</v>
      </c>
      <c r="AX62" s="8"/>
      <c r="AY62" s="9">
        <f>$G$62</f>
        <v>2.9863000000000001E-2</v>
      </c>
      <c r="AZ62" s="13">
        <f>BB14+BB15</f>
        <v>0</v>
      </c>
      <c r="BA62" s="3"/>
      <c r="BB62" s="8">
        <f>-AZ62*AY62</f>
        <v>0</v>
      </c>
      <c r="BC62" s="8"/>
      <c r="BD62" s="8"/>
      <c r="BE62" s="8"/>
      <c r="BF62" s="9">
        <f>$G$62</f>
        <v>2.9863000000000001E-2</v>
      </c>
      <c r="BG62" s="13">
        <f>BI14+BI15</f>
        <v>0</v>
      </c>
      <c r="BH62" s="3"/>
      <c r="BI62" s="8">
        <f>-BG62*BF62</f>
        <v>0</v>
      </c>
      <c r="BJ62" s="8"/>
      <c r="BK62" s="9">
        <f>$G$62</f>
        <v>2.9863000000000001E-2</v>
      </c>
      <c r="BL62" s="13">
        <f>BN14+BN15</f>
        <v>0</v>
      </c>
      <c r="BM62" s="3"/>
      <c r="BN62" s="8">
        <f>-BL62*BK62</f>
        <v>0</v>
      </c>
      <c r="BO62" s="8"/>
      <c r="BP62" s="8"/>
      <c r="BR62" s="9">
        <f>$G$62</f>
        <v>2.9863000000000001E-2</v>
      </c>
      <c r="BS62" s="13">
        <f>BU14+BU15</f>
        <v>0</v>
      </c>
      <c r="BT62" s="3"/>
      <c r="BU62" s="8">
        <f>-BS62*BR62</f>
        <v>0</v>
      </c>
      <c r="BV62" s="8"/>
      <c r="BW62" s="9">
        <f>$G$62</f>
        <v>2.9863000000000001E-2</v>
      </c>
      <c r="BX62" s="13">
        <f>BZ14+BZ15</f>
        <v>0</v>
      </c>
      <c r="BY62" s="3"/>
      <c r="BZ62" s="8">
        <f>-BX62*BW62</f>
        <v>0</v>
      </c>
      <c r="CA62" s="8"/>
      <c r="CB62" s="8"/>
      <c r="CC62" s="8"/>
      <c r="CD62" s="9">
        <f>$G$62</f>
        <v>2.9863000000000001E-2</v>
      </c>
      <c r="CE62" s="13">
        <f>CG14+CG15</f>
        <v>0</v>
      </c>
      <c r="CF62" s="3"/>
      <c r="CG62" s="8">
        <f>-CE62*CD62</f>
        <v>0</v>
      </c>
      <c r="CH62" s="8"/>
      <c r="CI62" s="9">
        <f>$G$62</f>
        <v>2.9863000000000001E-2</v>
      </c>
      <c r="CJ62" s="13">
        <f>CL14+CL15</f>
        <v>0</v>
      </c>
      <c r="CK62" s="3"/>
      <c r="CL62" s="8">
        <f>-CJ62*CI62</f>
        <v>0</v>
      </c>
      <c r="CM62" s="8"/>
      <c r="CN62" s="8"/>
      <c r="CO62" s="8"/>
      <c r="CP62" s="9">
        <f>$G$62</f>
        <v>2.9863000000000001E-2</v>
      </c>
      <c r="CQ62" s="13">
        <f>CS14+CS15</f>
        <v>0</v>
      </c>
      <c r="CR62" s="3"/>
      <c r="CS62" s="8">
        <f>-CQ62*CP62</f>
        <v>0</v>
      </c>
      <c r="CT62" s="8"/>
      <c r="CU62" s="9">
        <f>$G$62</f>
        <v>2.9863000000000001E-2</v>
      </c>
      <c r="CV62" s="13">
        <f>CX14+CX15</f>
        <v>0</v>
      </c>
      <c r="CW62" s="3"/>
      <c r="CX62" s="8">
        <f>-CV62*CU62</f>
        <v>0</v>
      </c>
      <c r="CY62" s="8"/>
      <c r="CZ62" s="8"/>
      <c r="DA62" s="8"/>
    </row>
    <row r="63" spans="1:105" x14ac:dyDescent="0.25">
      <c r="A63" s="6" t="s">
        <v>14</v>
      </c>
      <c r="D63" s="3"/>
      <c r="E63" s="1"/>
      <c r="G63" s="23">
        <v>0.1</v>
      </c>
      <c r="H63" s="3">
        <f>J12+J13</f>
        <v>507150</v>
      </c>
      <c r="J63" s="8">
        <f>-H63*G63</f>
        <v>-50715</v>
      </c>
      <c r="K63" s="10"/>
      <c r="L63" s="23">
        <f t="shared" si="36"/>
        <v>0.1</v>
      </c>
      <c r="M63" s="3">
        <f>O12+O13</f>
        <v>138000</v>
      </c>
      <c r="O63" s="8">
        <f>-M63*L63</f>
        <v>-13800</v>
      </c>
      <c r="Q63" s="23">
        <v>0.1</v>
      </c>
      <c r="R63" s="3">
        <f>T12+T13</f>
        <v>0</v>
      </c>
      <c r="T63" s="8">
        <f>-R63*Q63</f>
        <v>0</v>
      </c>
      <c r="V63" s="23">
        <f t="shared" si="37"/>
        <v>0.1</v>
      </c>
      <c r="W63" s="3">
        <f>Y12+Y13</f>
        <v>0</v>
      </c>
      <c r="Y63" s="8">
        <f>-W63*V63</f>
        <v>0</v>
      </c>
      <c r="Z63" s="8"/>
      <c r="AA63" s="23">
        <f t="shared" si="38"/>
        <v>0.1</v>
      </c>
      <c r="AB63" s="3">
        <f>AD12+AD13</f>
        <v>0</v>
      </c>
      <c r="AD63" s="8">
        <f>-AB63*AA63</f>
        <v>0</v>
      </c>
      <c r="AE63" s="8"/>
      <c r="AF63" s="8"/>
      <c r="AH63" s="23">
        <v>0.1</v>
      </c>
      <c r="AI63" s="3">
        <f>AK12+AK13</f>
        <v>0</v>
      </c>
      <c r="AK63" s="8">
        <f>-AI63*AH63</f>
        <v>0</v>
      </c>
      <c r="AL63" s="112"/>
      <c r="AM63" s="23">
        <v>0.1</v>
      </c>
      <c r="AN63" s="3">
        <f>AP12+AP13</f>
        <v>0</v>
      </c>
      <c r="AP63" s="8">
        <f>-AN63*AM63</f>
        <v>0</v>
      </c>
      <c r="AQ63" s="112"/>
      <c r="AR63" s="8"/>
      <c r="AS63" s="112"/>
      <c r="AT63" s="23">
        <v>0.1</v>
      </c>
      <c r="AU63" s="3">
        <f>AW12+AW13</f>
        <v>0</v>
      </c>
      <c r="AW63" s="8">
        <f>-AU63*AT63</f>
        <v>0</v>
      </c>
      <c r="AX63" s="8"/>
      <c r="AY63" s="23">
        <v>0.1</v>
      </c>
      <c r="AZ63" s="3">
        <f>BB12+BB13</f>
        <v>0</v>
      </c>
      <c r="BB63" s="8">
        <f>-AZ63*AY63</f>
        <v>0</v>
      </c>
      <c r="BC63" s="8"/>
      <c r="BD63" s="8"/>
      <c r="BE63" s="8"/>
      <c r="BF63" s="23">
        <v>0.1</v>
      </c>
      <c r="BG63" s="3">
        <f>BI12+BI13</f>
        <v>0</v>
      </c>
      <c r="BI63" s="8">
        <f>-BG63*BF63</f>
        <v>0</v>
      </c>
      <c r="BJ63" s="8"/>
      <c r="BK63" s="23">
        <v>0.1</v>
      </c>
      <c r="BL63" s="3">
        <f>BN12+BN13</f>
        <v>0</v>
      </c>
      <c r="BN63" s="8">
        <f>-BL63*BK63</f>
        <v>0</v>
      </c>
      <c r="BO63" s="8"/>
      <c r="BP63" s="8"/>
      <c r="BR63" s="23">
        <v>0.1</v>
      </c>
      <c r="BS63" s="3">
        <f>BU12+BU13</f>
        <v>0</v>
      </c>
      <c r="BU63" s="8">
        <f>-BS63*BR63</f>
        <v>0</v>
      </c>
      <c r="BV63" s="8"/>
      <c r="BW63" s="23">
        <v>0.1</v>
      </c>
      <c r="BX63" s="3">
        <f>BZ12+BZ13</f>
        <v>0</v>
      </c>
      <c r="BZ63" s="8">
        <f>-BX63*BW63</f>
        <v>0</v>
      </c>
      <c r="CA63" s="8"/>
      <c r="CB63" s="8"/>
      <c r="CC63" s="8"/>
      <c r="CD63" s="23">
        <v>0.1</v>
      </c>
      <c r="CE63" s="3">
        <f>CG12+CG13</f>
        <v>0</v>
      </c>
      <c r="CG63" s="8">
        <f>-CE63*CD63</f>
        <v>0</v>
      </c>
      <c r="CH63" s="8"/>
      <c r="CI63" s="23">
        <v>0.1</v>
      </c>
      <c r="CJ63" s="3">
        <f>CL12+CL13</f>
        <v>0</v>
      </c>
      <c r="CL63" s="8">
        <f>-CJ63*CI63</f>
        <v>0</v>
      </c>
      <c r="CM63" s="8"/>
      <c r="CN63" s="8"/>
      <c r="CO63" s="8"/>
      <c r="CP63" s="23">
        <v>0.1</v>
      </c>
      <c r="CQ63" s="3">
        <f>CS12+CS13</f>
        <v>0</v>
      </c>
      <c r="CS63" s="8">
        <f>-CQ63*CP63</f>
        <v>0</v>
      </c>
      <c r="CT63" s="8"/>
      <c r="CU63" s="23">
        <v>0.1</v>
      </c>
      <c r="CV63" s="3">
        <f>CX12+CX13</f>
        <v>0</v>
      </c>
      <c r="CX63" s="8">
        <f>-CV63*CU63</f>
        <v>0</v>
      </c>
      <c r="CY63" s="8"/>
      <c r="CZ63" s="8"/>
      <c r="DA63" s="8"/>
    </row>
    <row r="64" spans="1:105" x14ac:dyDescent="0.25">
      <c r="C64" s="3"/>
      <c r="D64" s="3"/>
      <c r="E64" s="1"/>
      <c r="H64" s="3"/>
      <c r="I64" s="3"/>
      <c r="M64" s="3"/>
      <c r="N64" s="3"/>
      <c r="R64" s="3"/>
      <c r="S64" s="3"/>
      <c r="W64" s="3"/>
      <c r="X64" s="3"/>
      <c r="AB64" s="3"/>
      <c r="AC64" s="3"/>
      <c r="AI64" s="3"/>
      <c r="AJ64" s="3"/>
      <c r="AN64" s="3"/>
      <c r="AO64" s="3"/>
      <c r="AU64" s="3"/>
      <c r="AV64" s="3"/>
      <c r="AZ64" s="3"/>
      <c r="BA64" s="3"/>
      <c r="BG64" s="3"/>
      <c r="BH64" s="3"/>
      <c r="BL64" s="3"/>
      <c r="BM64" s="3"/>
      <c r="BS64" s="3"/>
      <c r="BT64" s="3"/>
      <c r="BX64" s="3"/>
      <c r="BY64" s="3"/>
      <c r="CE64" s="3"/>
      <c r="CF64" s="3"/>
      <c r="CJ64" s="3"/>
      <c r="CK64" s="3"/>
      <c r="CQ64" s="3"/>
      <c r="CR64" s="3"/>
      <c r="CV64" s="3"/>
      <c r="CW64" s="3"/>
    </row>
    <row r="65" spans="1:106" x14ac:dyDescent="0.25">
      <c r="A65" s="21" t="s">
        <v>10</v>
      </c>
      <c r="B65" s="20"/>
      <c r="C65" s="29"/>
      <c r="D65" s="29"/>
      <c r="E65" s="31">
        <f>IF(SUM(E56:E62)&gt;0,SUM(E56:E62),0)</f>
        <v>9038.4802519999994</v>
      </c>
      <c r="G65" s="20"/>
      <c r="H65" s="29"/>
      <c r="I65" s="29"/>
      <c r="J65" s="30">
        <f>IF(SUM(J56:J63)&gt;0,SUM(J56:J63),0)</f>
        <v>37832.02668000001</v>
      </c>
      <c r="L65" s="20"/>
      <c r="M65" s="29"/>
      <c r="N65" s="29"/>
      <c r="O65" s="30">
        <f>IF(SUM(O56:O63)&gt;0,SUM(O56:O63),0)</f>
        <v>67354.563330000004</v>
      </c>
      <c r="Q65" s="20"/>
      <c r="R65" s="29"/>
      <c r="S65" s="29"/>
      <c r="T65" s="30">
        <f>IF(SUM(T56:T63)&gt;0,SUM(T56:T63),0)</f>
        <v>87079.160280000011</v>
      </c>
      <c r="V65" s="20"/>
      <c r="W65" s="29"/>
      <c r="X65" s="29"/>
      <c r="Y65" s="30">
        <f>IF(SUM(Y56:Y63)&gt;0,SUM(Y56:Y63),0)</f>
        <v>0</v>
      </c>
      <c r="Z65" s="107"/>
      <c r="AA65" s="20"/>
      <c r="AB65" s="29"/>
      <c r="AC65" s="29"/>
      <c r="AD65" s="30">
        <f>IF(SUM(AD56:AD63)&gt;0,SUM(AD56:AD63),0)</f>
        <v>0</v>
      </c>
      <c r="AE65" s="107"/>
      <c r="AF65" s="107"/>
      <c r="AH65" s="20"/>
      <c r="AI65" s="29"/>
      <c r="AJ65" s="29"/>
      <c r="AK65" s="30">
        <f>IF(SUM(AK56:AK63)&gt;0,SUM(AK56:AK63),0)</f>
        <v>0</v>
      </c>
      <c r="AL65" s="114"/>
      <c r="AM65" s="20"/>
      <c r="AN65" s="29"/>
      <c r="AO65" s="29"/>
      <c r="AP65" s="30">
        <f>IF(SUM(AP56:AP63)&gt;0,SUM(AP56:AP63),0)</f>
        <v>0</v>
      </c>
      <c r="AQ65" s="114"/>
      <c r="AR65" s="107"/>
      <c r="AS65" s="114"/>
      <c r="AT65" s="20"/>
      <c r="AU65" s="29"/>
      <c r="AV65" s="29"/>
      <c r="AW65" s="30">
        <f>IF(SUM(AW56:AW63)&gt;0,SUM(AW56:AW63),0)</f>
        <v>0</v>
      </c>
      <c r="AX65" s="107"/>
      <c r="AY65" s="20"/>
      <c r="AZ65" s="29"/>
      <c r="BA65" s="29"/>
      <c r="BB65" s="30">
        <f>IF(SUM(BB56:BB63)&gt;0,SUM(BB56:BB63),0)</f>
        <v>0</v>
      </c>
      <c r="BC65" s="107"/>
      <c r="BD65" s="107"/>
      <c r="BE65" s="107"/>
      <c r="BF65" s="20"/>
      <c r="BG65" s="29"/>
      <c r="BH65" s="29"/>
      <c r="BI65" s="30">
        <f>IF(SUM(BI56:BI63)&gt;0,SUM(BI56:BI63),0)</f>
        <v>0</v>
      </c>
      <c r="BJ65" s="107"/>
      <c r="BK65" s="20"/>
      <c r="BL65" s="29"/>
      <c r="BM65" s="29"/>
      <c r="BN65" s="30">
        <f>IF(SUM(BN56:BN63)&gt;0,SUM(BN56:BN63),0)</f>
        <v>0</v>
      </c>
      <c r="BO65" s="107"/>
      <c r="BP65" s="107"/>
      <c r="BR65" s="20"/>
      <c r="BS65" s="29"/>
      <c r="BT65" s="29"/>
      <c r="BU65" s="30">
        <f>IF(SUM(BU56:BU63)&gt;0,SUM(BU56:BU63),0)</f>
        <v>0</v>
      </c>
      <c r="BV65" s="107"/>
      <c r="BW65" s="20"/>
      <c r="BX65" s="29"/>
      <c r="BY65" s="29"/>
      <c r="BZ65" s="30">
        <f>IF(SUM(BZ56:BZ63)&gt;0,SUM(BZ56:BZ63),0)</f>
        <v>0</v>
      </c>
      <c r="CA65" s="107"/>
      <c r="CB65" s="107"/>
      <c r="CC65" s="107"/>
      <c r="CD65" s="20"/>
      <c r="CE65" s="29"/>
      <c r="CF65" s="29"/>
      <c r="CG65" s="30">
        <f>IF(SUM(CG56:CG63)&gt;0,SUM(CG56:CG63),0)</f>
        <v>0</v>
      </c>
      <c r="CH65" s="107"/>
      <c r="CI65" s="20"/>
      <c r="CJ65" s="29"/>
      <c r="CK65" s="29"/>
      <c r="CL65" s="30">
        <f>IF(SUM(CL56:CL63)&gt;0,SUM(CL56:CL63),0)</f>
        <v>0</v>
      </c>
      <c r="CM65" s="107"/>
      <c r="CN65" s="107"/>
      <c r="CO65" s="107"/>
      <c r="CP65" s="20"/>
      <c r="CQ65" s="29"/>
      <c r="CR65" s="29"/>
      <c r="CS65" s="30">
        <f>IF(SUM(CS56:CS63)&gt;0,SUM(CS56:CS63),0)</f>
        <v>0</v>
      </c>
      <c r="CT65" s="107"/>
      <c r="CU65" s="20"/>
      <c r="CV65" s="29"/>
      <c r="CW65" s="29"/>
      <c r="CX65" s="30">
        <f>IF(SUM(CX56:CX63)&gt;0,SUM(CX56:CX63),0)</f>
        <v>0</v>
      </c>
      <c r="CY65" s="107"/>
      <c r="CZ65" s="107"/>
      <c r="DA65" s="107"/>
    </row>
    <row r="66" spans="1:106" x14ac:dyDescent="0.25">
      <c r="A66" s="21"/>
      <c r="C66" s="3"/>
      <c r="D66" s="3"/>
      <c r="E66" s="14"/>
      <c r="H66" s="3"/>
      <c r="I66" s="3"/>
      <c r="J66" s="1"/>
      <c r="M66" s="3"/>
      <c r="N66" s="3"/>
      <c r="O66" s="1"/>
      <c r="R66" s="3"/>
      <c r="S66" s="3"/>
      <c r="T66" s="1"/>
      <c r="W66" s="3"/>
      <c r="X66" s="3"/>
      <c r="Y66" s="1"/>
      <c r="Z66" s="1"/>
      <c r="AB66" s="3"/>
      <c r="AC66" s="3"/>
      <c r="AD66" s="1"/>
      <c r="AE66" s="1"/>
      <c r="AF66" s="1"/>
      <c r="AI66" s="3"/>
      <c r="AJ66" s="3"/>
      <c r="AK66" s="1"/>
      <c r="AL66" s="94"/>
      <c r="AN66" s="3"/>
      <c r="AO66" s="3"/>
      <c r="AP66" s="1"/>
      <c r="AQ66" s="94"/>
      <c r="AR66" s="1"/>
      <c r="AS66" s="94"/>
      <c r="AU66" s="3"/>
      <c r="AV66" s="3"/>
      <c r="AW66" s="1"/>
      <c r="AX66" s="1"/>
      <c r="AZ66" s="3"/>
      <c r="BA66" s="3"/>
      <c r="BB66" s="1"/>
      <c r="BC66" s="1"/>
      <c r="BD66" s="1"/>
      <c r="BE66" s="1"/>
      <c r="BG66" s="3"/>
      <c r="BH66" s="3"/>
      <c r="BI66" s="1"/>
      <c r="BJ66" s="1"/>
      <c r="BL66" s="3"/>
      <c r="BM66" s="3"/>
      <c r="BN66" s="1"/>
      <c r="BO66" s="1"/>
      <c r="BP66" s="1"/>
      <c r="BS66" s="3"/>
      <c r="BT66" s="3"/>
      <c r="BU66" s="1"/>
      <c r="BV66" s="1"/>
      <c r="BX66" s="3"/>
      <c r="BY66" s="3"/>
      <c r="BZ66" s="1"/>
      <c r="CA66" s="1"/>
      <c r="CB66" s="1"/>
      <c r="CC66" s="1"/>
      <c r="CE66" s="3"/>
      <c r="CF66" s="3"/>
      <c r="CG66" s="1"/>
      <c r="CH66" s="1"/>
      <c r="CJ66" s="3"/>
      <c r="CK66" s="3"/>
      <c r="CL66" s="1"/>
      <c r="CM66" s="1"/>
      <c r="CN66" s="1"/>
      <c r="CO66" s="1"/>
      <c r="CQ66" s="3"/>
      <c r="CR66" s="3"/>
      <c r="CS66" s="1"/>
      <c r="CT66" s="1"/>
      <c r="CV66" s="3"/>
      <c r="CW66" s="3"/>
      <c r="CX66" s="1"/>
      <c r="CY66" s="1"/>
      <c r="CZ66" s="1"/>
      <c r="DA66" s="1"/>
    </row>
    <row r="67" spans="1:106" x14ac:dyDescent="0.25">
      <c r="A67" s="21" t="s">
        <v>27</v>
      </c>
      <c r="C67" s="3"/>
      <c r="D67" s="3"/>
      <c r="E67" s="2">
        <f>E65+E40</f>
        <v>11983.360252</v>
      </c>
      <c r="G67" s="20"/>
      <c r="H67" s="29"/>
      <c r="I67" s="29"/>
      <c r="J67" s="41">
        <f>J65+J40</f>
        <v>105845.28168000004</v>
      </c>
      <c r="L67" s="20"/>
      <c r="M67" s="29"/>
      <c r="N67" s="29"/>
      <c r="O67" s="41">
        <f>O65+O40</f>
        <v>162441.30348000003</v>
      </c>
      <c r="Q67" s="20"/>
      <c r="R67" s="29"/>
      <c r="S67" s="29"/>
      <c r="T67" s="41">
        <f>T65+T40</f>
        <v>228718.29528000002</v>
      </c>
      <c r="V67" s="20"/>
      <c r="W67" s="29"/>
      <c r="X67" s="29"/>
      <c r="Y67" s="41">
        <f>Y65+Y40</f>
        <v>0</v>
      </c>
      <c r="Z67" s="50"/>
      <c r="AA67" s="20"/>
      <c r="AB67" s="29"/>
      <c r="AC67" s="29"/>
      <c r="AD67" s="41">
        <f>AD65+AD40</f>
        <v>0</v>
      </c>
      <c r="AE67" s="50"/>
      <c r="AF67" s="50">
        <f>Y67-AD67</f>
        <v>0</v>
      </c>
      <c r="AH67" s="24"/>
      <c r="AI67" s="95"/>
      <c r="AJ67" s="95"/>
      <c r="AK67" s="50">
        <f>AK65+AK40</f>
        <v>0</v>
      </c>
      <c r="AL67" s="98"/>
      <c r="AM67" s="24"/>
      <c r="AN67" s="95"/>
      <c r="AO67" s="95"/>
      <c r="AP67" s="50">
        <f>AP65+AP40</f>
        <v>0</v>
      </c>
      <c r="AQ67" s="98"/>
      <c r="AR67" s="50">
        <f>AK67-AP67</f>
        <v>0</v>
      </c>
      <c r="AS67" s="98"/>
      <c r="AT67" s="24"/>
      <c r="AU67" s="95"/>
      <c r="AV67" s="95"/>
      <c r="AW67" s="50">
        <f>AW65+AW40</f>
        <v>0</v>
      </c>
      <c r="AX67" s="50"/>
      <c r="AY67" s="24"/>
      <c r="AZ67" s="95"/>
      <c r="BA67" s="95"/>
      <c r="BB67" s="50">
        <f>BB65+BB40</f>
        <v>0</v>
      </c>
      <c r="BC67" s="50"/>
      <c r="BD67" s="50">
        <f>AW67-BB67</f>
        <v>0</v>
      </c>
      <c r="BE67" s="50"/>
      <c r="BF67" s="24"/>
      <c r="BG67" s="95"/>
      <c r="BH67" s="95"/>
      <c r="BI67" s="50">
        <f>BI65+BI40</f>
        <v>0</v>
      </c>
      <c r="BJ67" s="50"/>
      <c r="BK67" s="24"/>
      <c r="BL67" s="95"/>
      <c r="BM67" s="95"/>
      <c r="BN67" s="50">
        <f>BN65+BN40</f>
        <v>0</v>
      </c>
      <c r="BO67" s="50"/>
      <c r="BP67" s="50">
        <f>BI67-BN67</f>
        <v>0</v>
      </c>
      <c r="BR67" s="24"/>
      <c r="BS67" s="95"/>
      <c r="BT67" s="95"/>
      <c r="BU67" s="50">
        <f>BU65+BU40</f>
        <v>0</v>
      </c>
      <c r="BV67" s="50"/>
      <c r="BW67" s="24"/>
      <c r="BX67" s="95"/>
      <c r="BY67" s="95"/>
      <c r="BZ67" s="50">
        <f>BZ65+BZ40</f>
        <v>0</v>
      </c>
      <c r="CA67" s="50"/>
      <c r="CB67" s="50">
        <f>BU67-BZ67</f>
        <v>0</v>
      </c>
      <c r="CC67" s="50"/>
      <c r="CD67" s="24"/>
      <c r="CE67" s="95"/>
      <c r="CF67" s="95"/>
      <c r="CG67" s="50">
        <f>CG65+CG40</f>
        <v>0</v>
      </c>
      <c r="CH67" s="50"/>
      <c r="CI67" s="24"/>
      <c r="CJ67" s="95"/>
      <c r="CK67" s="95"/>
      <c r="CL67" s="50">
        <f>CL65+CL40</f>
        <v>0</v>
      </c>
      <c r="CM67" s="50"/>
      <c r="CN67" s="50">
        <f>CG67-CL67</f>
        <v>0</v>
      </c>
      <c r="CO67" s="50"/>
      <c r="CP67" s="24"/>
      <c r="CQ67" s="95"/>
      <c r="CR67" s="95"/>
      <c r="CS67" s="50">
        <f>CS65+CS40</f>
        <v>0</v>
      </c>
      <c r="CT67" s="50"/>
      <c r="CU67" s="24"/>
      <c r="CV67" s="95"/>
      <c r="CW67" s="95"/>
      <c r="CX67" s="50">
        <f>CX65+CX40</f>
        <v>0</v>
      </c>
      <c r="CY67" s="50"/>
      <c r="CZ67" s="50">
        <f>CS67-CX67</f>
        <v>0</v>
      </c>
      <c r="DA67" s="50"/>
      <c r="DB67" s="2">
        <f>CN67+CB67+BP67+BD67+AR67+CZ67</f>
        <v>0</v>
      </c>
    </row>
    <row r="68" spans="1:106" x14ac:dyDescent="0.25">
      <c r="C68" s="3"/>
      <c r="D68" s="3"/>
      <c r="E68" s="1"/>
      <c r="H68" s="3"/>
      <c r="I68" s="3"/>
      <c r="J68" s="1"/>
      <c r="M68" s="3"/>
      <c r="N68" s="3"/>
      <c r="O68" s="1"/>
      <c r="R68" s="3"/>
      <c r="S68" s="3"/>
      <c r="T68" s="1"/>
      <c r="W68" s="3"/>
      <c r="X68" s="3"/>
      <c r="Y68" s="1"/>
      <c r="Z68" s="1"/>
      <c r="AB68" s="3"/>
      <c r="AC68" s="3"/>
      <c r="AD68" s="1"/>
      <c r="AE68" s="1"/>
      <c r="AF68" s="1"/>
      <c r="AH68" s="24"/>
      <c r="AI68" s="95"/>
      <c r="AJ68" s="95"/>
      <c r="AK68" s="96"/>
      <c r="AL68" s="100"/>
      <c r="AM68" s="96"/>
      <c r="AN68" s="96"/>
      <c r="AO68" s="96"/>
      <c r="AP68" s="96"/>
      <c r="AQ68" s="100"/>
      <c r="AR68" s="96"/>
      <c r="AS68" s="100"/>
      <c r="AT68" s="24"/>
      <c r="AU68" s="95"/>
      <c r="AV68" s="95"/>
      <c r="AW68" s="96"/>
      <c r="AX68" s="96"/>
      <c r="AY68" s="96"/>
      <c r="AZ68" s="96"/>
      <c r="BA68" s="96"/>
      <c r="BB68" s="96"/>
      <c r="BC68" s="96"/>
      <c r="BD68" s="96"/>
      <c r="BE68" s="96"/>
      <c r="BF68" s="24"/>
      <c r="BG68" s="95"/>
      <c r="BH68" s="95"/>
      <c r="BI68" s="96"/>
      <c r="BJ68" s="96"/>
      <c r="BK68" s="96"/>
      <c r="BL68" s="96"/>
      <c r="BM68" s="96"/>
      <c r="BN68" s="96"/>
      <c r="BO68" s="96"/>
      <c r="BP68" s="96"/>
      <c r="BQ68" s="24"/>
      <c r="BR68" s="24"/>
      <c r="BS68" s="95"/>
      <c r="BT68" s="95"/>
      <c r="BU68" s="96"/>
      <c r="BV68" s="96"/>
      <c r="BW68" s="24"/>
      <c r="BX68" s="95"/>
      <c r="BY68" s="95"/>
      <c r="BZ68" s="96"/>
      <c r="CA68" s="96"/>
      <c r="CB68" s="96"/>
      <c r="CC68" s="96"/>
      <c r="CD68" s="24"/>
      <c r="CE68" s="95"/>
      <c r="CF68" s="95"/>
      <c r="CG68" s="96"/>
      <c r="CH68" s="96"/>
      <c r="CI68" s="24"/>
      <c r="CJ68" s="95"/>
      <c r="CK68" s="95"/>
      <c r="CL68" s="96"/>
      <c r="CM68" s="96"/>
      <c r="CN68" s="96"/>
      <c r="CO68" s="96"/>
      <c r="CP68" s="24"/>
      <c r="CQ68" s="95"/>
      <c r="CR68" s="95"/>
      <c r="CS68" s="96"/>
      <c r="CT68" s="96"/>
      <c r="CU68" s="24"/>
      <c r="CV68" s="95"/>
      <c r="CW68" s="95"/>
      <c r="CX68" s="96"/>
      <c r="CY68" s="96"/>
      <c r="CZ68" s="96"/>
      <c r="DA68" s="96"/>
    </row>
    <row r="69" spans="1:106" x14ac:dyDescent="0.25">
      <c r="C69" s="3"/>
      <c r="D69" s="3"/>
      <c r="E69" s="1"/>
      <c r="H69" s="3"/>
      <c r="I69" s="3"/>
      <c r="J69" s="1"/>
      <c r="M69" s="3"/>
      <c r="N69" s="3"/>
      <c r="O69" s="1"/>
      <c r="R69" s="3"/>
      <c r="S69" s="3"/>
      <c r="T69" s="1"/>
      <c r="W69" s="3"/>
      <c r="X69" s="3"/>
      <c r="Y69" s="1"/>
      <c r="Z69" s="1"/>
      <c r="AB69" s="3"/>
      <c r="AC69" s="3"/>
      <c r="AD69" s="1"/>
      <c r="AE69" s="1"/>
      <c r="AF69" s="1"/>
      <c r="AH69" s="24"/>
      <c r="AI69" s="95"/>
      <c r="AJ69" s="95"/>
      <c r="AK69" s="96"/>
      <c r="AL69" s="100"/>
      <c r="AM69" s="96"/>
      <c r="AN69" s="96"/>
      <c r="AO69" s="96"/>
      <c r="AP69" s="96"/>
      <c r="AQ69" s="100"/>
      <c r="AR69" s="96"/>
      <c r="AS69" s="100"/>
      <c r="AT69" s="24"/>
      <c r="AU69" s="95"/>
      <c r="AV69" s="95"/>
      <c r="AW69" s="96"/>
      <c r="AX69" s="96"/>
      <c r="AY69" s="96"/>
      <c r="AZ69" s="96"/>
      <c r="BA69" s="96"/>
      <c r="BB69" s="96"/>
      <c r="BC69" s="96"/>
      <c r="BD69" s="96"/>
      <c r="BE69" s="96"/>
      <c r="BF69" s="24"/>
      <c r="BG69" s="95"/>
      <c r="BH69" s="95"/>
      <c r="BI69" s="96"/>
      <c r="BJ69" s="96"/>
      <c r="BK69" s="96"/>
      <c r="BL69" s="96"/>
      <c r="BM69" s="96"/>
      <c r="BN69" s="96"/>
      <c r="BO69" s="96"/>
      <c r="BP69" s="96"/>
      <c r="BQ69" s="24"/>
      <c r="BR69" s="24"/>
      <c r="BS69" s="95"/>
      <c r="BT69" s="95"/>
      <c r="BU69" s="96"/>
      <c r="BV69" s="96"/>
      <c r="BW69" s="24"/>
      <c r="BX69" s="95"/>
      <c r="BY69" s="95"/>
      <c r="BZ69" s="96"/>
      <c r="CA69" s="96"/>
      <c r="CB69" s="96"/>
      <c r="CC69" s="96"/>
      <c r="CD69" s="24"/>
      <c r="CE69" s="95"/>
      <c r="CF69" s="95"/>
      <c r="CG69" s="96"/>
      <c r="CH69" s="96"/>
      <c r="CI69" s="24"/>
      <c r="CJ69" s="95"/>
      <c r="CK69" s="95"/>
      <c r="CL69" s="96"/>
      <c r="CM69" s="96"/>
      <c r="CN69" s="96"/>
      <c r="CO69" s="96"/>
      <c r="CP69" s="24"/>
      <c r="CQ69" s="95"/>
      <c r="CR69" s="95"/>
      <c r="CS69" s="96"/>
      <c r="CT69" s="96"/>
      <c r="CU69" s="24"/>
      <c r="CV69" s="95"/>
      <c r="CW69" s="95"/>
      <c r="CX69" s="96"/>
      <c r="CY69" s="96"/>
      <c r="CZ69" s="96"/>
      <c r="DA69" s="96"/>
    </row>
    <row r="70" spans="1:106" x14ac:dyDescent="0.25">
      <c r="A70" s="19" t="s">
        <v>70</v>
      </c>
      <c r="C70" s="3"/>
      <c r="D70" s="3"/>
      <c r="E70" s="1"/>
      <c r="H70" s="3"/>
      <c r="I70" s="3"/>
      <c r="J70" s="1"/>
      <c r="M70" s="3"/>
      <c r="N70" s="3"/>
      <c r="O70" s="1"/>
      <c r="R70" s="3"/>
      <c r="S70" s="3"/>
      <c r="T70" s="1"/>
      <c r="W70" s="3"/>
      <c r="X70" s="3"/>
      <c r="Y70" s="1">
        <f>F1</f>
        <v>500000</v>
      </c>
      <c r="Z70" s="1"/>
      <c r="AB70" s="3"/>
      <c r="AC70" s="3"/>
      <c r="AD70" s="1">
        <f>K1</f>
        <v>0</v>
      </c>
      <c r="AE70" s="1"/>
      <c r="AF70" s="1"/>
      <c r="AH70" s="24"/>
      <c r="AI70" s="95"/>
      <c r="AJ70" s="95"/>
      <c r="AK70" s="96"/>
      <c r="AL70" s="100"/>
      <c r="AM70" s="96"/>
      <c r="AN70" s="96"/>
      <c r="AO70" s="96"/>
      <c r="AP70" s="96"/>
      <c r="AQ70" s="100"/>
      <c r="AR70" s="96"/>
      <c r="AS70" s="100"/>
      <c r="AT70" s="24"/>
      <c r="AU70" s="95"/>
      <c r="AV70" s="95"/>
      <c r="AW70" s="96"/>
      <c r="AX70" s="96"/>
      <c r="AY70" s="96"/>
      <c r="AZ70" s="96"/>
      <c r="BA70" s="96"/>
      <c r="BB70" s="96"/>
      <c r="BC70" s="96"/>
      <c r="BD70" s="96"/>
      <c r="BE70" s="96"/>
      <c r="BF70" s="24"/>
      <c r="BG70" s="95"/>
      <c r="BH70" s="95"/>
      <c r="BI70" s="96"/>
      <c r="BJ70" s="96"/>
      <c r="BK70" s="96"/>
      <c r="BL70" s="96"/>
      <c r="BM70" s="96"/>
      <c r="BN70" s="96"/>
      <c r="BO70" s="96"/>
      <c r="BP70" s="96"/>
      <c r="BQ70" s="24"/>
      <c r="BR70" s="24"/>
      <c r="BS70" s="95"/>
      <c r="BT70" s="95"/>
      <c r="BU70" s="96"/>
      <c r="BV70" s="96"/>
      <c r="BW70" s="24"/>
      <c r="BX70" s="95"/>
      <c r="BY70" s="95"/>
      <c r="BZ70" s="96"/>
      <c r="CA70" s="96"/>
      <c r="CB70" s="96"/>
      <c r="CC70" s="96"/>
      <c r="CD70" s="24"/>
      <c r="CE70" s="95"/>
      <c r="CF70" s="95"/>
      <c r="CG70" s="96"/>
      <c r="CH70" s="96"/>
      <c r="CI70" s="24"/>
      <c r="CJ70" s="95"/>
      <c r="CK70" s="95"/>
      <c r="CL70" s="96"/>
      <c r="CM70" s="96"/>
      <c r="CN70" s="96"/>
      <c r="CO70" s="96"/>
      <c r="CP70" s="24"/>
      <c r="CQ70" s="95"/>
      <c r="CR70" s="95"/>
      <c r="CS70" s="96"/>
      <c r="CT70" s="96"/>
      <c r="CU70" s="24"/>
      <c r="CV70" s="95"/>
      <c r="CW70" s="95"/>
      <c r="CX70" s="96"/>
      <c r="CY70" s="96"/>
      <c r="CZ70" s="96"/>
      <c r="DA70" s="96"/>
    </row>
    <row r="71" spans="1:106" x14ac:dyDescent="0.25">
      <c r="C71" s="3"/>
      <c r="D71" s="3"/>
      <c r="E71" s="1"/>
      <c r="H71" s="3"/>
      <c r="I71" s="3"/>
      <c r="J71" s="1"/>
      <c r="M71" s="3"/>
      <c r="N71" s="3"/>
      <c r="O71" s="1"/>
      <c r="R71" s="3"/>
      <c r="S71" s="3"/>
      <c r="T71" s="1"/>
      <c r="W71" s="3"/>
      <c r="X71" s="3"/>
      <c r="Y71" s="1"/>
      <c r="Z71" s="1"/>
      <c r="AB71" s="3"/>
      <c r="AC71" s="3"/>
      <c r="AD71" s="1"/>
      <c r="AE71" s="1"/>
      <c r="AF71" s="1"/>
      <c r="AH71" s="24"/>
      <c r="AI71" s="95"/>
      <c r="AJ71" s="95"/>
      <c r="AK71" s="96"/>
      <c r="AL71" s="100"/>
      <c r="AM71" s="96"/>
      <c r="AN71" s="96"/>
      <c r="AO71" s="96"/>
      <c r="AP71" s="96"/>
      <c r="AQ71" s="100"/>
      <c r="AR71" s="96"/>
      <c r="AS71" s="100"/>
      <c r="AT71" s="24"/>
      <c r="AU71" s="95"/>
      <c r="AV71" s="95"/>
      <c r="AW71" s="96"/>
      <c r="AX71" s="96"/>
      <c r="AY71" s="96"/>
      <c r="AZ71" s="96"/>
      <c r="BA71" s="96"/>
      <c r="BB71" s="96"/>
      <c r="BC71" s="96"/>
      <c r="BD71" s="96"/>
      <c r="BE71" s="96"/>
      <c r="BF71" s="24"/>
      <c r="BG71" s="95"/>
      <c r="BH71" s="95"/>
      <c r="BI71" s="96"/>
      <c r="BJ71" s="96"/>
      <c r="BK71" s="96"/>
      <c r="BL71" s="96"/>
      <c r="BM71" s="96"/>
      <c r="BN71" s="96"/>
      <c r="BO71" s="96"/>
      <c r="BP71" s="96"/>
      <c r="BQ71" s="24"/>
      <c r="BR71" s="24"/>
      <c r="BS71" s="95"/>
      <c r="BT71" s="95"/>
      <c r="BU71" s="96"/>
      <c r="BV71" s="96"/>
      <c r="BW71" s="24"/>
      <c r="BX71" s="95"/>
      <c r="BY71" s="95"/>
      <c r="BZ71" s="96"/>
      <c r="CA71" s="96"/>
      <c r="CB71" s="96"/>
      <c r="CC71" s="96"/>
      <c r="CD71" s="24"/>
      <c r="CE71" s="95"/>
      <c r="CF71" s="95"/>
      <c r="CG71" s="96"/>
      <c r="CH71" s="96"/>
      <c r="CI71" s="24"/>
      <c r="CJ71" s="95"/>
      <c r="CK71" s="95"/>
      <c r="CL71" s="96"/>
      <c r="CM71" s="96"/>
      <c r="CN71" s="96"/>
      <c r="CO71" s="96"/>
      <c r="CP71" s="24"/>
      <c r="CQ71" s="95"/>
      <c r="CR71" s="95"/>
      <c r="CS71" s="96"/>
      <c r="CT71" s="96"/>
      <c r="CU71" s="24"/>
      <c r="CV71" s="95"/>
      <c r="CW71" s="95"/>
      <c r="CX71" s="96"/>
      <c r="CY71" s="96"/>
      <c r="CZ71" s="96"/>
      <c r="DA71" s="96"/>
    </row>
    <row r="72" spans="1:106" x14ac:dyDescent="0.25">
      <c r="A72" s="19" t="s">
        <v>0</v>
      </c>
      <c r="C72" s="3"/>
      <c r="D72" s="3"/>
      <c r="E72" s="1"/>
      <c r="H72" s="3"/>
      <c r="I72" s="3"/>
      <c r="J72" s="1"/>
      <c r="M72" s="3"/>
      <c r="N72" s="3"/>
      <c r="O72" s="1"/>
      <c r="R72" s="3"/>
      <c r="S72" s="3"/>
      <c r="T72" s="1"/>
      <c r="W72" s="3"/>
      <c r="X72" s="3"/>
      <c r="Y72" s="1">
        <f>Y10</f>
        <v>0</v>
      </c>
      <c r="Z72" s="1"/>
      <c r="AB72" s="3"/>
      <c r="AC72" s="3"/>
      <c r="AD72" s="1">
        <f>AD10</f>
        <v>0</v>
      </c>
      <c r="AE72" s="1"/>
      <c r="AF72" s="1"/>
      <c r="AH72" s="24"/>
      <c r="AI72" s="95"/>
      <c r="AJ72" s="95"/>
      <c r="AK72" s="96"/>
      <c r="AL72" s="100"/>
      <c r="AM72" s="96"/>
      <c r="AN72" s="96"/>
      <c r="AO72" s="96"/>
      <c r="AP72" s="96"/>
      <c r="AQ72" s="100"/>
      <c r="AR72" s="96"/>
      <c r="AS72" s="100"/>
      <c r="AT72" s="24"/>
      <c r="AU72" s="95"/>
      <c r="AV72" s="95"/>
      <c r="AW72" s="96"/>
      <c r="AX72" s="96"/>
      <c r="AY72" s="96"/>
      <c r="AZ72" s="96"/>
      <c r="BA72" s="96"/>
      <c r="BB72" s="96"/>
      <c r="BC72" s="96"/>
      <c r="BD72" s="96"/>
      <c r="BE72" s="96"/>
      <c r="BF72" s="24"/>
      <c r="BG72" s="95"/>
      <c r="BH72" s="95"/>
      <c r="BI72" s="96"/>
      <c r="BJ72" s="96"/>
      <c r="BK72" s="96"/>
      <c r="BL72" s="96"/>
      <c r="BM72" s="96"/>
      <c r="BN72" s="96"/>
      <c r="BO72" s="96"/>
      <c r="BP72" s="96"/>
      <c r="BQ72" s="24"/>
      <c r="BR72" s="24"/>
      <c r="BS72" s="95"/>
      <c r="BT72" s="95"/>
      <c r="BU72" s="96"/>
      <c r="BV72" s="96"/>
      <c r="BW72" s="24"/>
      <c r="BX72" s="95"/>
      <c r="BY72" s="95"/>
      <c r="BZ72" s="96"/>
      <c r="CA72" s="96"/>
      <c r="CB72" s="96"/>
      <c r="CC72" s="96"/>
      <c r="CD72" s="24"/>
      <c r="CE72" s="95"/>
      <c r="CF72" s="95"/>
      <c r="CG72" s="96"/>
      <c r="CH72" s="96"/>
      <c r="CI72" s="24"/>
      <c r="CJ72" s="95"/>
      <c r="CK72" s="95"/>
      <c r="CL72" s="96"/>
      <c r="CM72" s="96"/>
      <c r="CN72" s="96"/>
      <c r="CO72" s="96"/>
      <c r="CP72" s="24"/>
      <c r="CQ72" s="95"/>
      <c r="CR72" s="95"/>
      <c r="CS72" s="96"/>
      <c r="CT72" s="96"/>
      <c r="CU72" s="24"/>
      <c r="CV72" s="95"/>
      <c r="CW72" s="95"/>
      <c r="CX72" s="96"/>
      <c r="CY72" s="96"/>
      <c r="CZ72" s="96"/>
      <c r="DA72" s="96"/>
    </row>
    <row r="73" spans="1:106" x14ac:dyDescent="0.25">
      <c r="C73" s="3"/>
      <c r="D73" s="3"/>
      <c r="E73" s="1"/>
      <c r="H73" s="3"/>
      <c r="I73" s="3"/>
      <c r="J73" s="1"/>
      <c r="M73" s="3"/>
      <c r="N73" s="3"/>
      <c r="O73" s="1"/>
      <c r="R73" s="3"/>
      <c r="S73" s="3"/>
      <c r="T73" s="1"/>
      <c r="W73" s="3"/>
      <c r="X73" s="3"/>
      <c r="Y73" s="1"/>
      <c r="Z73" s="1"/>
      <c r="AB73" s="3"/>
      <c r="AC73" s="3"/>
      <c r="AD73" s="1"/>
      <c r="AE73" s="1"/>
      <c r="AF73" s="1"/>
      <c r="AH73" s="24"/>
      <c r="AI73" s="95"/>
      <c r="AJ73" s="95"/>
      <c r="AK73" s="96"/>
      <c r="AL73" s="100"/>
      <c r="AM73" s="96"/>
      <c r="AN73" s="96"/>
      <c r="AO73" s="96"/>
      <c r="AP73" s="96"/>
      <c r="AQ73" s="100"/>
      <c r="AR73" s="96"/>
      <c r="AS73" s="100"/>
      <c r="AT73" s="24"/>
      <c r="AU73" s="95"/>
      <c r="AV73" s="95"/>
      <c r="AW73" s="96"/>
      <c r="AX73" s="96"/>
      <c r="AY73" s="96"/>
      <c r="AZ73" s="96"/>
      <c r="BA73" s="96"/>
      <c r="BB73" s="96"/>
      <c r="BC73" s="96"/>
      <c r="BD73" s="96"/>
      <c r="BE73" s="96"/>
      <c r="BF73" s="24"/>
      <c r="BG73" s="95"/>
      <c r="BH73" s="95"/>
      <c r="BI73" s="96"/>
      <c r="BJ73" s="96"/>
      <c r="BK73" s="96"/>
      <c r="BL73" s="96"/>
      <c r="BM73" s="96"/>
      <c r="BN73" s="96"/>
      <c r="BO73" s="96"/>
      <c r="BP73" s="96"/>
      <c r="BQ73" s="24"/>
      <c r="BR73" s="24"/>
      <c r="BS73" s="95"/>
      <c r="BT73" s="95"/>
      <c r="BU73" s="96"/>
      <c r="BV73" s="96"/>
      <c r="BW73" s="24"/>
      <c r="BX73" s="95"/>
      <c r="BY73" s="95"/>
      <c r="BZ73" s="96"/>
      <c r="CA73" s="96"/>
      <c r="CB73" s="96"/>
      <c r="CC73" s="96"/>
      <c r="CD73" s="24"/>
      <c r="CE73" s="95"/>
      <c r="CF73" s="95"/>
      <c r="CG73" s="96"/>
      <c r="CH73" s="96"/>
      <c r="CI73" s="24"/>
      <c r="CJ73" s="95"/>
      <c r="CK73" s="95"/>
      <c r="CL73" s="96"/>
      <c r="CM73" s="96"/>
      <c r="CN73" s="96"/>
      <c r="CO73" s="96"/>
      <c r="CP73" s="24"/>
      <c r="CQ73" s="95"/>
      <c r="CR73" s="95"/>
      <c r="CS73" s="96"/>
      <c r="CT73" s="96"/>
      <c r="CU73" s="24"/>
      <c r="CV73" s="95"/>
      <c r="CW73" s="95"/>
      <c r="CX73" s="96"/>
      <c r="CY73" s="96"/>
      <c r="CZ73" s="96"/>
      <c r="DA73" s="96"/>
    </row>
    <row r="74" spans="1:106" x14ac:dyDescent="0.25">
      <c r="A74" s="19" t="s">
        <v>71</v>
      </c>
      <c r="C74" s="3"/>
      <c r="D74" s="3"/>
      <c r="E74" s="1"/>
      <c r="H74" s="3"/>
      <c r="I74" s="3"/>
      <c r="J74" s="1"/>
      <c r="M74" s="3"/>
      <c r="N74" s="3"/>
      <c r="O74" s="1"/>
      <c r="R74" s="3"/>
      <c r="S74" s="3"/>
      <c r="T74" s="1"/>
      <c r="W74" s="3"/>
      <c r="X74" s="3"/>
      <c r="Y74" s="1">
        <f>Y70-Y72</f>
        <v>500000</v>
      </c>
      <c r="Z74" s="1"/>
      <c r="AB74" s="3"/>
      <c r="AC74" s="3"/>
      <c r="AD74" s="1">
        <f>AD70-AD72</f>
        <v>0</v>
      </c>
      <c r="AE74" s="1"/>
      <c r="AF74" s="1"/>
      <c r="AH74" s="24"/>
      <c r="AI74" s="95"/>
      <c r="AJ74" s="95"/>
      <c r="AK74" s="96"/>
      <c r="AL74" s="100"/>
      <c r="AM74" s="96"/>
      <c r="AN74" s="96"/>
      <c r="AO74" s="96"/>
      <c r="AP74" s="96"/>
      <c r="AQ74" s="100"/>
      <c r="AR74" s="96"/>
      <c r="AS74" s="100"/>
      <c r="AT74" s="24"/>
      <c r="AU74" s="95"/>
      <c r="AV74" s="95"/>
      <c r="AW74" s="96"/>
      <c r="AX74" s="96"/>
      <c r="AY74" s="96"/>
      <c r="AZ74" s="96"/>
      <c r="BA74" s="96"/>
      <c r="BB74" s="96"/>
      <c r="BC74" s="96"/>
      <c r="BD74" s="96"/>
      <c r="BE74" s="96"/>
      <c r="BF74" s="24"/>
      <c r="BG74" s="95"/>
      <c r="BH74" s="95"/>
      <c r="BI74" s="96"/>
      <c r="BJ74" s="96"/>
      <c r="BK74" s="96"/>
      <c r="BL74" s="96"/>
      <c r="BM74" s="96"/>
      <c r="BN74" s="96"/>
      <c r="BO74" s="96"/>
      <c r="BP74" s="96"/>
      <c r="BQ74" s="24"/>
      <c r="BR74" s="24"/>
      <c r="BS74" s="95"/>
      <c r="BT74" s="95"/>
      <c r="BU74" s="96"/>
      <c r="BV74" s="96"/>
      <c r="BW74" s="24"/>
      <c r="BX74" s="95"/>
      <c r="BY74" s="95"/>
      <c r="BZ74" s="96"/>
      <c r="CA74" s="96"/>
      <c r="CB74" s="96"/>
      <c r="CC74" s="96"/>
      <c r="CD74" s="24"/>
      <c r="CE74" s="95"/>
      <c r="CF74" s="95"/>
      <c r="CG74" s="96"/>
      <c r="CH74" s="96"/>
      <c r="CI74" s="24"/>
      <c r="CJ74" s="95"/>
      <c r="CK74" s="95"/>
      <c r="CL74" s="96"/>
      <c r="CM74" s="96"/>
      <c r="CN74" s="96"/>
      <c r="CO74" s="96"/>
      <c r="CP74" s="24"/>
      <c r="CQ74" s="95"/>
      <c r="CR74" s="95"/>
      <c r="CS74" s="96"/>
      <c r="CT74" s="96"/>
      <c r="CU74" s="24"/>
      <c r="CV74" s="95"/>
      <c r="CW74" s="95"/>
      <c r="CX74" s="96"/>
      <c r="CY74" s="96"/>
      <c r="CZ74" s="96"/>
      <c r="DA74" s="96"/>
    </row>
    <row r="75" spans="1:106" x14ac:dyDescent="0.25">
      <c r="C75" s="3"/>
      <c r="D75" s="3"/>
      <c r="E75" s="1"/>
      <c r="H75" s="3"/>
      <c r="I75" s="3"/>
      <c r="J75" s="1"/>
      <c r="M75" s="3"/>
      <c r="N75" s="3"/>
      <c r="O75" s="1"/>
      <c r="R75" s="3"/>
      <c r="S75" s="3"/>
      <c r="T75" s="1"/>
      <c r="W75" s="3"/>
      <c r="X75" s="3"/>
      <c r="Y75" s="1"/>
      <c r="Z75" s="1"/>
      <c r="AB75" s="3"/>
      <c r="AC75" s="3"/>
      <c r="AD75" s="1"/>
      <c r="AE75" s="1"/>
      <c r="AF75" s="1"/>
      <c r="AH75" s="24"/>
      <c r="AI75" s="95"/>
      <c r="AJ75" s="95"/>
      <c r="AK75" s="96"/>
      <c r="AL75" s="100"/>
      <c r="AM75" s="96"/>
      <c r="AN75" s="96"/>
      <c r="AO75" s="96"/>
      <c r="AP75" s="96"/>
      <c r="AQ75" s="100"/>
      <c r="AR75" s="96"/>
      <c r="AS75" s="100"/>
      <c r="AT75" s="24"/>
      <c r="AU75" s="95"/>
      <c r="AV75" s="95"/>
      <c r="AW75" s="96"/>
      <c r="AX75" s="96"/>
      <c r="AY75" s="96"/>
      <c r="AZ75" s="96"/>
      <c r="BA75" s="96"/>
      <c r="BB75" s="96"/>
      <c r="BC75" s="96"/>
      <c r="BD75" s="96"/>
      <c r="BE75" s="96"/>
      <c r="BF75" s="24"/>
      <c r="BG75" s="95"/>
      <c r="BH75" s="95"/>
      <c r="BI75" s="96"/>
      <c r="BJ75" s="96"/>
      <c r="BK75" s="96"/>
      <c r="BL75" s="96"/>
      <c r="BM75" s="96"/>
      <c r="BN75" s="96"/>
      <c r="BO75" s="96"/>
      <c r="BP75" s="96"/>
      <c r="BQ75" s="24"/>
      <c r="BR75" s="24"/>
      <c r="BS75" s="95"/>
      <c r="BT75" s="95"/>
      <c r="BU75" s="96"/>
      <c r="BV75" s="96"/>
      <c r="BW75" s="24"/>
      <c r="BX75" s="95"/>
      <c r="BY75" s="95"/>
      <c r="BZ75" s="96"/>
      <c r="CA75" s="96"/>
      <c r="CB75" s="96"/>
      <c r="CC75" s="96"/>
      <c r="CD75" s="24"/>
      <c r="CE75" s="95"/>
      <c r="CF75" s="95"/>
      <c r="CG75" s="96"/>
      <c r="CH75" s="96"/>
      <c r="CI75" s="24"/>
      <c r="CJ75" s="95"/>
      <c r="CK75" s="95"/>
      <c r="CL75" s="96"/>
      <c r="CM75" s="96"/>
      <c r="CN75" s="96"/>
      <c r="CO75" s="96"/>
      <c r="CP75" s="24"/>
      <c r="CQ75" s="95"/>
      <c r="CR75" s="95"/>
      <c r="CS75" s="96"/>
      <c r="CT75" s="96"/>
      <c r="CU75" s="24"/>
      <c r="CV75" s="95"/>
      <c r="CW75" s="95"/>
      <c r="CX75" s="96"/>
      <c r="CY75" s="96"/>
      <c r="CZ75" s="96"/>
      <c r="DA75" s="96"/>
    </row>
    <row r="76" spans="1:106" x14ac:dyDescent="0.25">
      <c r="A76" s="21" t="s">
        <v>50</v>
      </c>
      <c r="C76" s="3"/>
      <c r="D76" s="3"/>
      <c r="E76" s="1"/>
      <c r="H76" s="3"/>
      <c r="I76" s="3"/>
      <c r="J76" s="1"/>
      <c r="M76" s="3"/>
      <c r="N76" s="3"/>
      <c r="O76" s="1">
        <f xml:space="preserve"> IF($F2&gt;$F1,$F1*0.122,$F2*0.122)</f>
        <v>61000</v>
      </c>
      <c r="R76" s="3"/>
      <c r="S76" s="3"/>
      <c r="T76" s="1"/>
      <c r="W76" s="3"/>
      <c r="X76" s="3"/>
      <c r="Y76" s="1">
        <f xml:space="preserve"> IF($F2&gt;$Y74,$Y74*0.122,$F2*0.122)</f>
        <v>61000</v>
      </c>
      <c r="Z76" s="1"/>
      <c r="AB76" s="3"/>
      <c r="AC76" s="3"/>
      <c r="AD76" s="1">
        <f xml:space="preserve"> IF($F2&gt;$Y74,$Y74*0.122,$F2*0.122)</f>
        <v>61000</v>
      </c>
      <c r="AE76" s="1"/>
      <c r="AF76" s="1"/>
      <c r="AH76" s="24"/>
      <c r="AI76" s="95"/>
      <c r="AJ76" s="95"/>
      <c r="AK76" s="96"/>
      <c r="AL76" s="100"/>
      <c r="AM76" s="96"/>
      <c r="AN76" s="96"/>
      <c r="AO76" s="96"/>
      <c r="AP76" s="96"/>
      <c r="AQ76" s="100"/>
      <c r="AR76" s="96"/>
      <c r="AS76" s="100"/>
      <c r="AT76" s="24"/>
      <c r="AU76" s="95"/>
      <c r="AV76" s="95"/>
      <c r="AW76" s="96"/>
      <c r="AX76" s="96"/>
      <c r="AY76" s="96"/>
      <c r="AZ76" s="96"/>
      <c r="BA76" s="96"/>
      <c r="BB76" s="96"/>
      <c r="BC76" s="96"/>
      <c r="BD76" s="96"/>
      <c r="BE76" s="96"/>
      <c r="BF76" s="24"/>
      <c r="BG76" s="95"/>
      <c r="BH76" s="95"/>
      <c r="BI76" s="96"/>
      <c r="BJ76" s="96"/>
      <c r="BK76" s="96"/>
      <c r="BL76" s="96"/>
      <c r="BM76" s="96"/>
      <c r="BN76" s="96"/>
      <c r="BO76" s="96"/>
      <c r="BP76" s="96"/>
      <c r="BQ76" s="24"/>
      <c r="BR76" s="24"/>
      <c r="BS76" s="95"/>
      <c r="BT76" s="95"/>
      <c r="BU76" s="96"/>
      <c r="BV76" s="96"/>
      <c r="BW76" s="24"/>
      <c r="BX76" s="95"/>
      <c r="BY76" s="95"/>
      <c r="BZ76" s="96"/>
      <c r="CA76" s="96"/>
      <c r="CB76" s="96"/>
      <c r="CC76" s="96"/>
      <c r="CD76" s="24"/>
      <c r="CE76" s="95"/>
      <c r="CF76" s="95"/>
      <c r="CG76" s="96"/>
      <c r="CH76" s="96"/>
      <c r="CI76" s="24"/>
      <c r="CJ76" s="95"/>
      <c r="CK76" s="95"/>
      <c r="CL76" s="96"/>
      <c r="CM76" s="96"/>
      <c r="CN76" s="96"/>
      <c r="CO76" s="96"/>
      <c r="CP76" s="24"/>
      <c r="CQ76" s="95"/>
      <c r="CR76" s="95"/>
      <c r="CS76" s="96"/>
      <c r="CT76" s="96"/>
      <c r="CU76" s="24"/>
      <c r="CV76" s="95"/>
      <c r="CW76" s="95"/>
      <c r="CX76" s="96"/>
      <c r="CY76" s="96"/>
      <c r="CZ76" s="96"/>
      <c r="DA76" s="96"/>
    </row>
    <row r="77" spans="1:106" x14ac:dyDescent="0.25">
      <c r="A77" s="21" t="s">
        <v>49</v>
      </c>
      <c r="B77" s="17"/>
      <c r="C77" s="18"/>
      <c r="D77" s="18"/>
      <c r="E77" s="41">
        <v>26500</v>
      </c>
      <c r="F77" s="21"/>
      <c r="G77" s="17"/>
      <c r="H77" s="18"/>
      <c r="I77" s="18"/>
      <c r="J77" s="41">
        <f>J14/0.878*12.2%+J12/0.735*26.5%</f>
        <v>132500</v>
      </c>
      <c r="K77" s="21"/>
      <c r="L77" s="17"/>
      <c r="M77" s="18"/>
      <c r="N77" s="18"/>
      <c r="O77" s="41">
        <f xml:space="preserve"> IF(($F1-$F2)*0.265&gt;0,($F1-$F2)*0.265,0)</f>
        <v>0</v>
      </c>
      <c r="P77" s="21"/>
      <c r="Q77" s="17"/>
      <c r="R77" s="18"/>
      <c r="S77" s="18"/>
      <c r="T77" s="41">
        <f>T14/0.878*12.2%+T12/0.735*26.5%</f>
        <v>0</v>
      </c>
      <c r="V77" s="17"/>
      <c r="W77" s="18"/>
      <c r="X77" s="18"/>
      <c r="Y77" s="41">
        <f xml:space="preserve"> IF(($Y74-$F2)*0.265&gt;0,($Y74-$F2)*0.265,0)</f>
        <v>0</v>
      </c>
      <c r="Z77" s="50"/>
      <c r="AA77" s="17"/>
      <c r="AB77" s="18"/>
      <c r="AC77" s="18"/>
      <c r="AD77" s="41">
        <f xml:space="preserve"> IF(($Y74-$F2)*0.265&gt;0,($Y74-$F2)*0.265,0)</f>
        <v>0</v>
      </c>
      <c r="AE77" s="50"/>
      <c r="AF77" s="50"/>
      <c r="AH77" s="51"/>
      <c r="AI77" s="97"/>
      <c r="AJ77" s="97"/>
      <c r="AK77" s="98"/>
      <c r="AL77" s="98"/>
      <c r="AM77" s="98"/>
      <c r="AN77" s="98"/>
      <c r="AO77" s="98"/>
      <c r="AP77" s="98"/>
      <c r="AQ77" s="98"/>
      <c r="AR77" s="98"/>
      <c r="AS77" s="98"/>
      <c r="AT77" s="51"/>
      <c r="AU77" s="97"/>
      <c r="AV77" s="97"/>
      <c r="AW77" s="98"/>
      <c r="AX77" s="98"/>
      <c r="AY77" s="98"/>
      <c r="AZ77" s="98"/>
      <c r="BA77" s="98"/>
      <c r="BB77" s="98"/>
      <c r="BC77" s="98"/>
      <c r="BD77" s="98"/>
      <c r="BE77" s="98"/>
      <c r="BF77" s="51"/>
      <c r="BG77" s="97"/>
      <c r="BH77" s="97"/>
      <c r="BI77" s="98"/>
      <c r="BJ77" s="98"/>
      <c r="BK77" s="98"/>
      <c r="BL77" s="98"/>
      <c r="BM77" s="98"/>
      <c r="BN77" s="98"/>
      <c r="BO77" s="98"/>
      <c r="BP77" s="98"/>
      <c r="BQ77" s="27"/>
      <c r="BR77" s="51"/>
      <c r="BS77" s="97"/>
      <c r="BT77" s="97"/>
      <c r="BU77" s="98"/>
      <c r="BV77" s="98"/>
      <c r="BW77" s="51"/>
      <c r="BX77" s="97"/>
      <c r="BY77" s="97"/>
      <c r="BZ77" s="98"/>
      <c r="CA77" s="98"/>
      <c r="CB77" s="98"/>
      <c r="CC77" s="98"/>
      <c r="CD77" s="51"/>
      <c r="CE77" s="97"/>
      <c r="CF77" s="97"/>
      <c r="CG77" s="98"/>
      <c r="CH77" s="98"/>
      <c r="CI77" s="51"/>
      <c r="CJ77" s="97"/>
      <c r="CK77" s="97"/>
      <c r="CL77" s="98"/>
      <c r="CM77" s="98"/>
      <c r="CN77" s="98"/>
      <c r="CO77" s="98"/>
      <c r="CP77" s="51"/>
      <c r="CQ77" s="97"/>
      <c r="CR77" s="97"/>
      <c r="CS77" s="98"/>
      <c r="CT77" s="98"/>
      <c r="CU77" s="51"/>
      <c r="CV77" s="97"/>
      <c r="CW77" s="97"/>
      <c r="CX77" s="98"/>
      <c r="CY77" s="98"/>
      <c r="CZ77" s="98"/>
      <c r="DA77" s="98"/>
    </row>
    <row r="78" spans="1:106" x14ac:dyDescent="0.25">
      <c r="A78" s="21" t="s">
        <v>51</v>
      </c>
      <c r="B78" s="40"/>
      <c r="C78" s="87"/>
      <c r="D78" s="87"/>
      <c r="E78" s="50"/>
      <c r="F78" s="21"/>
      <c r="G78" s="40"/>
      <c r="H78" s="87"/>
      <c r="I78" s="87"/>
      <c r="J78" s="50"/>
      <c r="K78" s="21"/>
      <c r="L78" s="40"/>
      <c r="M78" s="87"/>
      <c r="N78" s="87"/>
      <c r="O78" s="50">
        <f>SUM(O76:O77)</f>
        <v>61000</v>
      </c>
      <c r="P78" s="21"/>
      <c r="Q78" s="40"/>
      <c r="R78" s="87"/>
      <c r="S78" s="87"/>
      <c r="T78" s="50"/>
      <c r="V78" s="40"/>
      <c r="W78" s="87"/>
      <c r="X78" s="87"/>
      <c r="Y78" s="50">
        <f>SUM(Y76:Y77)</f>
        <v>61000</v>
      </c>
      <c r="Z78" s="50"/>
      <c r="AA78" s="40"/>
      <c r="AB78" s="87"/>
      <c r="AC78" s="87"/>
      <c r="AD78" s="50">
        <f>SUM(AD76:AD77)</f>
        <v>61000</v>
      </c>
      <c r="AE78" s="50"/>
      <c r="AF78" s="50"/>
      <c r="AH78" s="51"/>
      <c r="AI78" s="97"/>
      <c r="AJ78" s="97"/>
      <c r="AK78" s="98"/>
      <c r="AL78" s="98"/>
      <c r="AM78" s="98"/>
      <c r="AN78" s="98"/>
      <c r="AO78" s="98"/>
      <c r="AP78" s="98"/>
      <c r="AQ78" s="98"/>
      <c r="AR78" s="98"/>
      <c r="AS78" s="98"/>
      <c r="AT78" s="51"/>
      <c r="AU78" s="97"/>
      <c r="AV78" s="97"/>
      <c r="AW78" s="98"/>
      <c r="AX78" s="98"/>
      <c r="AY78" s="98"/>
      <c r="AZ78" s="98"/>
      <c r="BA78" s="98"/>
      <c r="BB78" s="98"/>
      <c r="BC78" s="98"/>
      <c r="BD78" s="98"/>
      <c r="BE78" s="98"/>
      <c r="BF78" s="51"/>
      <c r="BG78" s="97"/>
      <c r="BH78" s="97"/>
      <c r="BI78" s="98"/>
      <c r="BJ78" s="98"/>
      <c r="BK78" s="98"/>
      <c r="BL78" s="98"/>
      <c r="BM78" s="98"/>
      <c r="BN78" s="98"/>
      <c r="BO78" s="98"/>
      <c r="BP78" s="98"/>
      <c r="BQ78" s="27"/>
      <c r="BR78" s="51"/>
      <c r="BS78" s="97"/>
      <c r="BT78" s="97"/>
      <c r="BU78" s="98"/>
      <c r="BV78" s="98"/>
      <c r="BW78" s="51"/>
      <c r="BX78" s="97"/>
      <c r="BY78" s="97"/>
      <c r="BZ78" s="98"/>
      <c r="CA78" s="98"/>
      <c r="CB78" s="98"/>
      <c r="CC78" s="98"/>
      <c r="CD78" s="51"/>
      <c r="CE78" s="97"/>
      <c r="CF78" s="97"/>
      <c r="CG78" s="98"/>
      <c r="CH78" s="98"/>
      <c r="CI78" s="51"/>
      <c r="CJ78" s="97"/>
      <c r="CK78" s="97"/>
      <c r="CL78" s="98"/>
      <c r="CM78" s="98"/>
      <c r="CN78" s="98"/>
      <c r="CO78" s="98"/>
      <c r="CP78" s="51"/>
      <c r="CQ78" s="97"/>
      <c r="CR78" s="97"/>
      <c r="CS78" s="98"/>
      <c r="CT78" s="98"/>
      <c r="CU78" s="51"/>
      <c r="CV78" s="97"/>
      <c r="CW78" s="97"/>
      <c r="CX78" s="98"/>
      <c r="CY78" s="98"/>
      <c r="CZ78" s="98"/>
      <c r="DA78" s="98"/>
    </row>
    <row r="79" spans="1:106" x14ac:dyDescent="0.25">
      <c r="C79" s="3"/>
      <c r="D79" s="3"/>
      <c r="E79" s="1"/>
      <c r="H79" s="3"/>
      <c r="I79" s="3"/>
      <c r="J79" s="1"/>
      <c r="M79" s="3"/>
      <c r="N79" s="3"/>
      <c r="O79" s="1"/>
      <c r="R79" s="3"/>
      <c r="S79" s="3"/>
      <c r="T79" s="1"/>
      <c r="W79" s="3"/>
      <c r="X79" s="3"/>
      <c r="Y79" s="1"/>
      <c r="Z79" s="1"/>
      <c r="AB79" s="3"/>
      <c r="AC79" s="3"/>
      <c r="AD79" s="1"/>
      <c r="AE79" s="1"/>
      <c r="AF79" s="1"/>
      <c r="AH79" s="27"/>
      <c r="AI79" s="99"/>
      <c r="AJ79" s="99"/>
      <c r="AK79" s="100"/>
      <c r="AL79" s="100"/>
      <c r="AM79" s="100"/>
      <c r="AN79" s="100"/>
      <c r="AO79" s="100"/>
      <c r="AP79" s="100"/>
      <c r="AQ79" s="100"/>
      <c r="AR79" s="100"/>
      <c r="AS79" s="100"/>
      <c r="AT79" s="27"/>
      <c r="AU79" s="99"/>
      <c r="AV79" s="99"/>
      <c r="AW79" s="100"/>
      <c r="AX79" s="100"/>
      <c r="AY79" s="100"/>
      <c r="AZ79" s="100"/>
      <c r="BA79" s="100"/>
      <c r="BB79" s="100"/>
      <c r="BC79" s="100"/>
      <c r="BD79" s="100"/>
      <c r="BE79" s="100"/>
      <c r="BF79" s="27"/>
      <c r="BG79" s="99"/>
      <c r="BH79" s="99"/>
      <c r="BI79" s="100"/>
      <c r="BJ79" s="100"/>
      <c r="BK79" s="100"/>
      <c r="BL79" s="100"/>
      <c r="BM79" s="100"/>
      <c r="BN79" s="100"/>
      <c r="BO79" s="100"/>
      <c r="BP79" s="100"/>
      <c r="BQ79" s="27"/>
      <c r="BR79" s="27"/>
      <c r="BS79" s="99"/>
      <c r="BT79" s="99"/>
      <c r="BU79" s="100"/>
      <c r="BV79" s="100"/>
      <c r="BW79" s="27"/>
      <c r="BX79" s="99"/>
      <c r="BY79" s="99"/>
      <c r="BZ79" s="100"/>
      <c r="CA79" s="100"/>
      <c r="CB79" s="100"/>
      <c r="CC79" s="100"/>
      <c r="CD79" s="27"/>
      <c r="CE79" s="99"/>
      <c r="CF79" s="99"/>
      <c r="CG79" s="100"/>
      <c r="CH79" s="100"/>
      <c r="CI79" s="27"/>
      <c r="CJ79" s="99"/>
      <c r="CK79" s="99"/>
      <c r="CL79" s="100"/>
      <c r="CM79" s="100"/>
      <c r="CN79" s="100"/>
      <c r="CO79" s="100"/>
      <c r="CP79" s="27"/>
      <c r="CQ79" s="99"/>
      <c r="CR79" s="99"/>
      <c r="CS79" s="100"/>
      <c r="CT79" s="100"/>
      <c r="CU79" s="27"/>
      <c r="CV79" s="99"/>
      <c r="CW79" s="99"/>
      <c r="CX79" s="100"/>
      <c r="CY79" s="100"/>
      <c r="CZ79" s="100"/>
      <c r="DA79" s="100"/>
    </row>
    <row r="80" spans="1:106" ht="15.75" thickBot="1" x14ac:dyDescent="0.3">
      <c r="A80" s="21" t="s">
        <v>12</v>
      </c>
      <c r="B80" s="21"/>
      <c r="C80" s="4"/>
      <c r="D80" s="4"/>
      <c r="E80" s="2">
        <f>E67+E77</f>
        <v>38483.360251999999</v>
      </c>
      <c r="F80" s="21"/>
      <c r="G80" s="32"/>
      <c r="H80" s="33"/>
      <c r="I80" s="33"/>
      <c r="J80" s="48">
        <f>J67+J77</f>
        <v>238345.28168000004</v>
      </c>
      <c r="L80" s="32"/>
      <c r="M80" s="33"/>
      <c r="N80" s="33"/>
      <c r="O80" s="48">
        <f>O67+O77</f>
        <v>162441.30348000003</v>
      </c>
      <c r="Q80" s="32"/>
      <c r="R80" s="33"/>
      <c r="S80" s="33"/>
      <c r="T80" s="48">
        <f>T67+T77</f>
        <v>228718.29528000002</v>
      </c>
      <c r="V80" s="32"/>
      <c r="W80" s="33"/>
      <c r="X80" s="33"/>
      <c r="Y80" s="48">
        <f>Y67+Y77</f>
        <v>0</v>
      </c>
      <c r="Z80" s="179"/>
      <c r="AA80" s="32"/>
      <c r="AB80" s="33"/>
      <c r="AC80" s="33"/>
      <c r="AD80" s="48">
        <f>AD67+AD77</f>
        <v>0</v>
      </c>
      <c r="AE80" s="179"/>
      <c r="AF80" s="179"/>
      <c r="AH80" s="51"/>
      <c r="AI80" s="97"/>
      <c r="AJ80" s="97"/>
      <c r="AK80" s="98"/>
      <c r="AL80" s="98"/>
      <c r="AM80" s="98"/>
      <c r="AN80" s="98"/>
      <c r="AO80" s="98"/>
      <c r="AP80" s="98"/>
      <c r="AQ80" s="98"/>
      <c r="AR80" s="98"/>
      <c r="AS80" s="98"/>
      <c r="AT80" s="51"/>
      <c r="AU80" s="97"/>
      <c r="AV80" s="97"/>
      <c r="AW80" s="98"/>
      <c r="AX80" s="98"/>
      <c r="AY80" s="98"/>
      <c r="AZ80" s="98"/>
      <c r="BA80" s="98"/>
      <c r="BB80" s="98"/>
      <c r="BC80" s="98"/>
      <c r="BD80" s="98"/>
      <c r="BE80" s="98"/>
      <c r="BF80" s="51"/>
      <c r="BG80" s="97"/>
      <c r="BH80" s="97"/>
      <c r="BI80" s="98"/>
      <c r="BJ80" s="98"/>
      <c r="BK80" s="98"/>
      <c r="BL80" s="98"/>
      <c r="BM80" s="98"/>
      <c r="BN80" s="98"/>
      <c r="BO80" s="98"/>
      <c r="BP80" s="98"/>
      <c r="BQ80" s="27"/>
      <c r="BR80" s="51"/>
      <c r="BS80" s="97"/>
      <c r="BT80" s="97"/>
      <c r="BU80" s="98"/>
      <c r="BV80" s="98"/>
      <c r="BW80" s="51"/>
      <c r="BX80" s="97"/>
      <c r="BY80" s="97"/>
      <c r="BZ80" s="98"/>
      <c r="CA80" s="98"/>
      <c r="CB80" s="98"/>
      <c r="CC80" s="98"/>
      <c r="CD80" s="51"/>
      <c r="CE80" s="97"/>
      <c r="CF80" s="97"/>
      <c r="CG80" s="98"/>
      <c r="CH80" s="98"/>
      <c r="CI80" s="51"/>
      <c r="CJ80" s="97"/>
      <c r="CK80" s="97"/>
      <c r="CL80" s="98"/>
      <c r="CM80" s="98"/>
      <c r="CN80" s="98"/>
      <c r="CO80" s="98"/>
      <c r="CP80" s="51"/>
      <c r="CQ80" s="97"/>
      <c r="CR80" s="97"/>
      <c r="CS80" s="98"/>
      <c r="CT80" s="98"/>
      <c r="CU80" s="51"/>
      <c r="CV80" s="97"/>
      <c r="CW80" s="97"/>
      <c r="CX80" s="98"/>
      <c r="CY80" s="98"/>
      <c r="CZ80" s="98"/>
      <c r="DA80" s="98"/>
    </row>
    <row r="81" spans="1:105" x14ac:dyDescent="0.25">
      <c r="E81" s="1"/>
      <c r="J81" s="1"/>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row>
    <row r="82" spans="1:105" x14ac:dyDescent="0.25">
      <c r="A82" s="21" t="s">
        <v>16</v>
      </c>
      <c r="E82" s="1"/>
      <c r="H82" s="21"/>
      <c r="I82" s="21"/>
      <c r="J82" s="15">
        <f>J80/$F1</f>
        <v>0.4766905633600001</v>
      </c>
      <c r="L82" s="21"/>
      <c r="M82" s="21"/>
      <c r="N82" s="21"/>
      <c r="O82" s="15">
        <f>O80/$F1</f>
        <v>0.32488260696000004</v>
      </c>
      <c r="Q82" s="21"/>
      <c r="R82" s="21"/>
      <c r="S82" s="21"/>
      <c r="T82" s="15">
        <f>T80/$F1</f>
        <v>0.45743659056000002</v>
      </c>
      <c r="V82" s="21"/>
      <c r="W82" s="21"/>
      <c r="X82" s="21"/>
      <c r="Y82" s="15">
        <f>Y80/$F1</f>
        <v>0</v>
      </c>
      <c r="Z82" s="15"/>
      <c r="AA82" s="21"/>
      <c r="AB82" s="21"/>
      <c r="AC82" s="21"/>
      <c r="AD82" s="15">
        <f>AD80/$F1</f>
        <v>0</v>
      </c>
      <c r="AE82" s="15"/>
      <c r="AF82" s="15"/>
      <c r="AH82" s="51"/>
      <c r="AI82" s="51"/>
      <c r="AJ82" s="51"/>
      <c r="AK82" s="101"/>
      <c r="AL82" s="101"/>
      <c r="AM82" s="101"/>
      <c r="AN82" s="101"/>
      <c r="AO82" s="101"/>
      <c r="AP82" s="101"/>
      <c r="AQ82" s="101"/>
      <c r="AR82" s="101"/>
      <c r="AS82" s="101"/>
      <c r="AT82" s="51"/>
      <c r="AU82" s="51"/>
      <c r="AV82" s="51"/>
      <c r="AW82" s="101"/>
      <c r="AX82" s="101"/>
      <c r="AY82" s="101"/>
      <c r="AZ82" s="101"/>
      <c r="BA82" s="101"/>
      <c r="BB82" s="101"/>
      <c r="BC82" s="101"/>
      <c r="BD82" s="101"/>
      <c r="BE82" s="101"/>
      <c r="BF82" s="51"/>
      <c r="BG82" s="51"/>
      <c r="BH82" s="51"/>
      <c r="BI82" s="101"/>
      <c r="BJ82" s="101"/>
      <c r="BK82" s="101"/>
      <c r="BL82" s="101"/>
      <c r="BM82" s="101"/>
      <c r="BN82" s="101"/>
      <c r="BO82" s="101"/>
      <c r="BP82" s="101"/>
      <c r="BQ82" s="27"/>
      <c r="BR82" s="51"/>
      <c r="BS82" s="51"/>
      <c r="BT82" s="51"/>
      <c r="BU82" s="101"/>
      <c r="BV82" s="101"/>
      <c r="BW82" s="51"/>
      <c r="BX82" s="51"/>
      <c r="BY82" s="51"/>
      <c r="BZ82" s="101"/>
      <c r="CA82" s="101"/>
      <c r="CB82" s="101"/>
      <c r="CC82" s="101"/>
      <c r="CD82" s="51"/>
      <c r="CE82" s="51"/>
      <c r="CF82" s="51"/>
      <c r="CG82" s="101"/>
      <c r="CH82" s="101"/>
      <c r="CI82" s="51"/>
      <c r="CJ82" s="51"/>
      <c r="CK82" s="51"/>
      <c r="CL82" s="101"/>
      <c r="CM82" s="101"/>
      <c r="CN82" s="101"/>
      <c r="CO82" s="101"/>
      <c r="CP82" s="51"/>
      <c r="CQ82" s="51"/>
      <c r="CR82" s="51"/>
      <c r="CS82" s="101"/>
      <c r="CT82" s="101"/>
      <c r="CU82" s="51"/>
      <c r="CV82" s="51"/>
      <c r="CW82" s="51"/>
      <c r="CX82" s="101"/>
      <c r="CY82" s="101"/>
      <c r="CZ82" s="101"/>
      <c r="DA82" s="101"/>
    </row>
    <row r="83" spans="1:105" x14ac:dyDescent="0.25">
      <c r="A83" s="21"/>
      <c r="E83" s="1"/>
      <c r="H83" s="21"/>
      <c r="I83" s="21"/>
      <c r="J83" s="15"/>
      <c r="L83" s="21"/>
      <c r="M83" s="21"/>
      <c r="N83" s="21"/>
      <c r="O83" s="15"/>
      <c r="Q83" s="21"/>
      <c r="R83" s="21"/>
      <c r="S83" s="21"/>
      <c r="T83" s="15"/>
      <c r="V83" s="21"/>
      <c r="W83" s="21"/>
      <c r="X83" s="21"/>
      <c r="Y83" s="15"/>
      <c r="Z83" s="15"/>
      <c r="AA83" s="21"/>
      <c r="AB83" s="21"/>
      <c r="AC83" s="21"/>
      <c r="AD83" s="15"/>
      <c r="AE83" s="15"/>
      <c r="AF83" s="15"/>
    </row>
    <row r="84" spans="1:105" x14ac:dyDescent="0.25">
      <c r="A84" s="21"/>
      <c r="E84" s="1"/>
      <c r="H84" s="21"/>
      <c r="I84" s="21"/>
      <c r="J84" s="15"/>
      <c r="L84" s="21"/>
      <c r="M84" s="21"/>
      <c r="N84" s="21"/>
      <c r="O84" s="15"/>
      <c r="Q84" s="21"/>
      <c r="R84" s="21"/>
      <c r="S84" s="21"/>
      <c r="T84" s="15"/>
      <c r="V84" s="21"/>
      <c r="W84" s="21"/>
      <c r="X84" s="21"/>
      <c r="Y84" s="15"/>
      <c r="Z84" s="15"/>
      <c r="AA84" s="21"/>
      <c r="AB84" s="21"/>
      <c r="AC84" s="21"/>
      <c r="AD84" s="15"/>
      <c r="AE84" s="15"/>
      <c r="AF84" s="15"/>
    </row>
    <row r="85" spans="1:105" x14ac:dyDescent="0.25">
      <c r="A85" s="21" t="s">
        <v>43</v>
      </c>
      <c r="E85" s="1"/>
    </row>
    <row r="86" spans="1:105" x14ac:dyDescent="0.25">
      <c r="A86" s="21"/>
      <c r="Q86" s="25"/>
      <c r="T86" s="5"/>
      <c r="V86" s="25"/>
      <c r="Y86" s="5"/>
      <c r="Z86" s="5"/>
      <c r="AA86" s="25"/>
      <c r="AD86" s="5"/>
      <c r="AE86" s="5"/>
      <c r="AF86" s="5"/>
    </row>
    <row r="87" spans="1:105" x14ac:dyDescent="0.25">
      <c r="A87" s="19" t="s">
        <v>44</v>
      </c>
      <c r="O87" s="3">
        <f>$F3</f>
        <v>100000</v>
      </c>
      <c r="Y87" s="3">
        <f>$F3</f>
        <v>100000</v>
      </c>
      <c r="Z87" s="3"/>
      <c r="AD87" s="3">
        <f>$F3</f>
        <v>100000</v>
      </c>
      <c r="AE87" s="3"/>
      <c r="AF87" s="3"/>
    </row>
    <row r="88" spans="1:105" x14ac:dyDescent="0.25">
      <c r="A88" s="21"/>
      <c r="O88" s="3"/>
      <c r="R88" s="21"/>
      <c r="S88" s="21"/>
      <c r="T88" s="12"/>
      <c r="W88" s="21"/>
      <c r="X88" s="21"/>
      <c r="Y88" s="3"/>
      <c r="Z88" s="3"/>
      <c r="AB88" s="21"/>
      <c r="AC88" s="21"/>
      <c r="AD88" s="3"/>
      <c r="AE88" s="3"/>
      <c r="AF88" s="3"/>
    </row>
    <row r="89" spans="1:105" x14ac:dyDescent="0.25">
      <c r="A89" s="19" t="s">
        <v>45</v>
      </c>
      <c r="O89" s="3">
        <f>IF(0.72*($F1-$F2)&gt;0,0.72*($F1-$F2),0)</f>
        <v>0</v>
      </c>
      <c r="Y89" s="3">
        <f>IF(0.72*($F1-$F2)&gt;0,0.72*($F1-$F2),0)</f>
        <v>0</v>
      </c>
      <c r="Z89" s="3"/>
      <c r="AD89" s="3">
        <f>IF(0.72*($F1-$F2)&gt;0,0.72*($F1-$F2),0)</f>
        <v>0</v>
      </c>
      <c r="AE89" s="3"/>
      <c r="AF89" s="3"/>
    </row>
    <row r="90" spans="1:105" x14ac:dyDescent="0.25">
      <c r="O90" s="3"/>
      <c r="Y90" s="3"/>
      <c r="Z90" s="3"/>
      <c r="AD90" s="3"/>
      <c r="AE90" s="3"/>
      <c r="AF90" s="3"/>
    </row>
    <row r="91" spans="1:105" x14ac:dyDescent="0.25">
      <c r="A91" s="19" t="s">
        <v>46</v>
      </c>
      <c r="O91" s="3">
        <f>SUM(O87:O89)</f>
        <v>100000</v>
      </c>
      <c r="Y91" s="3">
        <f>SUM(Y87:Y89)</f>
        <v>100000</v>
      </c>
      <c r="Z91" s="3"/>
      <c r="AD91" s="3">
        <f>SUM(AD87:AD89)</f>
        <v>100000</v>
      </c>
      <c r="AE91" s="3"/>
      <c r="AF91" s="3"/>
    </row>
    <row r="92" spans="1:105" x14ac:dyDescent="0.25">
      <c r="O92" s="3"/>
      <c r="Y92" s="3"/>
      <c r="Z92" s="3"/>
      <c r="AD92" s="3"/>
      <c r="AE92" s="3"/>
      <c r="AF92" s="3"/>
    </row>
    <row r="93" spans="1:105" x14ac:dyDescent="0.25">
      <c r="A93" s="19" t="s">
        <v>47</v>
      </c>
      <c r="O93" s="3">
        <f>O12</f>
        <v>100000</v>
      </c>
      <c r="Y93" s="3">
        <f>Y12</f>
        <v>0</v>
      </c>
      <c r="Z93" s="3"/>
      <c r="AD93" s="3">
        <f>AD12</f>
        <v>0</v>
      </c>
      <c r="AE93" s="3"/>
      <c r="AF93" s="3"/>
    </row>
    <row r="94" spans="1:105" x14ac:dyDescent="0.25">
      <c r="O94" s="3"/>
      <c r="Y94" s="3"/>
      <c r="Z94" s="3"/>
      <c r="AD94" s="3"/>
      <c r="AE94" s="3"/>
      <c r="AF94" s="3"/>
    </row>
    <row r="95" spans="1:105" x14ac:dyDescent="0.25">
      <c r="A95" s="19" t="s">
        <v>48</v>
      </c>
      <c r="O95" s="3">
        <f>O91-O93</f>
        <v>0</v>
      </c>
      <c r="Y95" s="3">
        <f>Y91-Y93</f>
        <v>100000</v>
      </c>
      <c r="Z95" s="3"/>
      <c r="AD95" s="3">
        <f>AD91-AD93</f>
        <v>100000</v>
      </c>
      <c r="AE95" s="3"/>
      <c r="AF95" s="3"/>
    </row>
  </sheetData>
  <mergeCells count="35">
    <mergeCell ref="CP3:CS3"/>
    <mergeCell ref="CU3:CX3"/>
    <mergeCell ref="CP4:CS4"/>
    <mergeCell ref="CU4:CX4"/>
    <mergeCell ref="AA3:AD3"/>
    <mergeCell ref="AA4:AD4"/>
    <mergeCell ref="AH3:AK3"/>
    <mergeCell ref="AH4:AK4"/>
    <mergeCell ref="AT3:AW3"/>
    <mergeCell ref="AT4:AW4"/>
    <mergeCell ref="BF3:BI3"/>
    <mergeCell ref="BF4:BI4"/>
    <mergeCell ref="AM3:AP3"/>
    <mergeCell ref="AM4:AP4"/>
    <mergeCell ref="AY3:BB3"/>
    <mergeCell ref="AY4:BB4"/>
    <mergeCell ref="B4:E4"/>
    <mergeCell ref="G4:J4"/>
    <mergeCell ref="L4:O4"/>
    <mergeCell ref="Q4:T4"/>
    <mergeCell ref="V3:Y3"/>
    <mergeCell ref="V4:Y4"/>
    <mergeCell ref="G3:J3"/>
    <mergeCell ref="L3:O3"/>
    <mergeCell ref="Q3:T3"/>
    <mergeCell ref="BK3:BN3"/>
    <mergeCell ref="BK4:BN4"/>
    <mergeCell ref="CI3:CL3"/>
    <mergeCell ref="CI4:CL4"/>
    <mergeCell ref="BR3:BU3"/>
    <mergeCell ref="BR4:BU4"/>
    <mergeCell ref="CD3:CG3"/>
    <mergeCell ref="CD4:CG4"/>
    <mergeCell ref="BW3:BZ3"/>
    <mergeCell ref="BW4:BZ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8"/>
  <sheetViews>
    <sheetView topLeftCell="A13" workbookViewId="0">
      <selection activeCell="G35" sqref="G35"/>
    </sheetView>
  </sheetViews>
  <sheetFormatPr defaultRowHeight="15" x14ac:dyDescent="0.25"/>
  <cols>
    <col min="1" max="1" width="50.42578125" customWidth="1"/>
    <col min="2" max="2" width="17.140625" customWidth="1"/>
    <col min="3" max="3" width="13.28515625" bestFit="1" customWidth="1"/>
    <col min="4" max="4" width="16.28515625" customWidth="1"/>
    <col min="5" max="5" width="32.28515625" customWidth="1"/>
    <col min="6" max="7" width="16.28515625" customWidth="1"/>
    <col min="8" max="8" width="16.28515625" style="19" customWidth="1"/>
    <col min="9" max="9" width="13.28515625" bestFit="1" customWidth="1"/>
  </cols>
  <sheetData>
    <row r="1" spans="1:6" x14ac:dyDescent="0.25">
      <c r="A1" s="83" t="s">
        <v>15</v>
      </c>
      <c r="B1" s="74"/>
      <c r="C1" s="74"/>
      <c r="D1" s="74"/>
      <c r="E1" s="74"/>
      <c r="F1" s="84">
        <f>Input!C3</f>
        <v>500000</v>
      </c>
    </row>
    <row r="2" spans="1:6" s="19" customFormat="1" ht="18.75" x14ac:dyDescent="0.3">
      <c r="A2" s="75" t="s">
        <v>120</v>
      </c>
      <c r="B2" s="78"/>
      <c r="C2" s="78"/>
      <c r="D2" s="78"/>
      <c r="E2" s="78"/>
      <c r="F2" s="85">
        <f>Input!C4</f>
        <v>500000</v>
      </c>
    </row>
    <row r="3" spans="1:6" s="19" customFormat="1" ht="19.5" thickBot="1" x14ac:dyDescent="0.35">
      <c r="A3" s="79" t="s">
        <v>38</v>
      </c>
      <c r="B3" s="82"/>
      <c r="C3" s="82"/>
      <c r="D3" s="82"/>
      <c r="E3" s="82"/>
      <c r="F3" s="86">
        <f>Input!C5</f>
        <v>100000</v>
      </c>
    </row>
    <row r="4" spans="1:6" s="19" customFormat="1" x14ac:dyDescent="0.25"/>
    <row r="5" spans="1:6" s="19" customFormat="1" ht="15.75" thickBot="1" x14ac:dyDescent="0.3"/>
    <row r="6" spans="1:6" s="19" customFormat="1" x14ac:dyDescent="0.25">
      <c r="A6" s="134" t="s">
        <v>103</v>
      </c>
      <c r="B6" s="136"/>
    </row>
    <row r="7" spans="1:6" s="19" customFormat="1" x14ac:dyDescent="0.25">
      <c r="A7" s="34"/>
      <c r="B7" s="35"/>
    </row>
    <row r="8" spans="1:6" s="19" customFormat="1" x14ac:dyDescent="0.25">
      <c r="A8" s="34" t="s">
        <v>70</v>
      </c>
      <c r="B8" s="139">
        <f>F1</f>
        <v>500000</v>
      </c>
    </row>
    <row r="9" spans="1:6" s="19" customFormat="1" x14ac:dyDescent="0.25">
      <c r="A9" s="34"/>
      <c r="B9" s="139"/>
    </row>
    <row r="10" spans="1:6" s="19" customFormat="1" x14ac:dyDescent="0.25">
      <c r="A10" s="34" t="s">
        <v>0</v>
      </c>
      <c r="B10" s="139">
        <f>Input!M20</f>
        <v>0</v>
      </c>
    </row>
    <row r="11" spans="1:6" s="19" customFormat="1" x14ac:dyDescent="0.25">
      <c r="A11" s="34"/>
      <c r="B11" s="139"/>
    </row>
    <row r="12" spans="1:6" s="19" customFormat="1" x14ac:dyDescent="0.25">
      <c r="A12" s="34" t="s">
        <v>71</v>
      </c>
      <c r="B12" s="139">
        <f>B8-B10</f>
        <v>500000</v>
      </c>
    </row>
    <row r="13" spans="1:6" s="19" customFormat="1" x14ac:dyDescent="0.25">
      <c r="A13" s="34"/>
      <c r="B13" s="35"/>
    </row>
    <row r="14" spans="1:6" x14ac:dyDescent="0.25">
      <c r="A14" s="39" t="s">
        <v>50</v>
      </c>
      <c r="B14" s="141">
        <f xml:space="preserve"> IF($F2&gt;$B12,$B12*0.122,$F2*0.122)</f>
        <v>61000</v>
      </c>
    </row>
    <row r="15" spans="1:6" x14ac:dyDescent="0.25">
      <c r="A15" s="39" t="s">
        <v>49</v>
      </c>
      <c r="B15" s="142">
        <f xml:space="preserve"> IF(($B12-$F2)*0.265&gt;0,($B12-$F2)*0.265,0)</f>
        <v>0</v>
      </c>
    </row>
    <row r="16" spans="1:6" ht="15.75" thickBot="1" x14ac:dyDescent="0.3">
      <c r="A16" s="92" t="s">
        <v>51</v>
      </c>
      <c r="B16" s="143">
        <f>SUM(B14:B15)</f>
        <v>61000</v>
      </c>
    </row>
    <row r="17" spans="1:9" ht="15.75" thickBot="1" x14ac:dyDescent="0.3">
      <c r="A17" s="19"/>
      <c r="B17" s="19"/>
    </row>
    <row r="18" spans="1:9" x14ac:dyDescent="0.25">
      <c r="A18" s="134" t="s">
        <v>43</v>
      </c>
      <c r="B18" s="136"/>
    </row>
    <row r="19" spans="1:9" x14ac:dyDescent="0.25">
      <c r="A19" s="39"/>
      <c r="B19" s="88"/>
    </row>
    <row r="20" spans="1:9" x14ac:dyDescent="0.25">
      <c r="A20" s="34" t="s">
        <v>44</v>
      </c>
      <c r="B20" s="119">
        <f>$F3</f>
        <v>100000</v>
      </c>
    </row>
    <row r="21" spans="1:9" x14ac:dyDescent="0.25">
      <c r="A21" s="39"/>
      <c r="B21" s="119"/>
    </row>
    <row r="22" spans="1:9" x14ac:dyDescent="0.25">
      <c r="A22" s="34" t="s">
        <v>45</v>
      </c>
      <c r="B22" s="119">
        <f>IF(0.72*($B12-$F2)&gt;0,0.72*($B12-$F2),0)</f>
        <v>0</v>
      </c>
    </row>
    <row r="23" spans="1:9" x14ac:dyDescent="0.25">
      <c r="A23" s="34"/>
      <c r="B23" s="119"/>
    </row>
    <row r="24" spans="1:9" x14ac:dyDescent="0.25">
      <c r="A24" s="34" t="s">
        <v>46</v>
      </c>
      <c r="B24" s="119">
        <f>SUM(B20:B22)</f>
        <v>100000</v>
      </c>
    </row>
    <row r="25" spans="1:9" x14ac:dyDescent="0.25">
      <c r="A25" s="34"/>
      <c r="B25" s="119"/>
    </row>
    <row r="26" spans="1:9" x14ac:dyDescent="0.25">
      <c r="A26" s="34" t="s">
        <v>47</v>
      </c>
      <c r="B26" s="119">
        <f>I35</f>
        <v>0</v>
      </c>
    </row>
    <row r="27" spans="1:9" x14ac:dyDescent="0.25">
      <c r="A27" s="34"/>
      <c r="B27" s="119"/>
    </row>
    <row r="28" spans="1:9" ht="15.75" thickBot="1" x14ac:dyDescent="0.3">
      <c r="A28" s="59" t="s">
        <v>48</v>
      </c>
      <c r="B28" s="140">
        <f>B24-B26</f>
        <v>100000</v>
      </c>
    </row>
    <row r="30" spans="1:9" ht="15.75" thickBot="1" x14ac:dyDescent="0.3"/>
    <row r="31" spans="1:9" x14ac:dyDescent="0.25">
      <c r="A31" s="134" t="s">
        <v>61</v>
      </c>
      <c r="B31" s="135"/>
      <c r="C31" s="135"/>
      <c r="D31" s="135"/>
      <c r="E31" s="135"/>
      <c r="F31" s="135"/>
      <c r="G31" s="135"/>
      <c r="H31" s="135"/>
      <c r="I31" s="136"/>
    </row>
    <row r="32" spans="1:9" x14ac:dyDescent="0.25">
      <c r="A32" s="34"/>
      <c r="B32" s="24"/>
      <c r="C32" s="105" t="s">
        <v>63</v>
      </c>
      <c r="D32" s="105" t="s">
        <v>54</v>
      </c>
      <c r="E32" s="105" t="s">
        <v>55</v>
      </c>
      <c r="F32" s="105" t="s">
        <v>56</v>
      </c>
      <c r="G32" s="105" t="s">
        <v>57</v>
      </c>
      <c r="H32" s="105" t="s">
        <v>135</v>
      </c>
      <c r="I32" s="137" t="s">
        <v>59</v>
      </c>
    </row>
    <row r="33" spans="1:9" x14ac:dyDescent="0.25">
      <c r="A33" s="34" t="s">
        <v>62</v>
      </c>
      <c r="B33" s="24"/>
      <c r="C33" s="138">
        <f>Input!G21</f>
        <v>0</v>
      </c>
      <c r="D33" s="138">
        <f>Input!H21</f>
        <v>0</v>
      </c>
      <c r="E33" s="138">
        <f>Input!I21</f>
        <v>0</v>
      </c>
      <c r="F33" s="138">
        <f>Input!J21</f>
        <v>0</v>
      </c>
      <c r="G33" s="138">
        <f>Input!K21</f>
        <v>0</v>
      </c>
      <c r="H33" s="138">
        <f>+Input!L21</f>
        <v>0</v>
      </c>
      <c r="I33" s="139">
        <f>SUM(C33:H33)</f>
        <v>0</v>
      </c>
    </row>
    <row r="34" spans="1:9" x14ac:dyDescent="0.25">
      <c r="A34" s="34"/>
      <c r="B34" s="24"/>
      <c r="C34" s="24"/>
      <c r="D34" s="24"/>
      <c r="E34" s="24"/>
      <c r="F34" s="24"/>
      <c r="G34" s="24"/>
      <c r="H34" s="24"/>
      <c r="I34" s="35"/>
    </row>
    <row r="35" spans="1:9" x14ac:dyDescent="0.25">
      <c r="A35" s="34" t="s">
        <v>20</v>
      </c>
      <c r="B35" s="24"/>
      <c r="C35" s="96">
        <f>IF($B$24&lt;$I$33,C33/$I$33*$B$24,C33)</f>
        <v>0</v>
      </c>
      <c r="D35" s="96">
        <f t="shared" ref="D35:H35" si="0">IF($B$24&lt;$I$33,D33/$I$33*$B$24,D33)</f>
        <v>0</v>
      </c>
      <c r="E35" s="96">
        <f t="shared" si="0"/>
        <v>0</v>
      </c>
      <c r="F35" s="96">
        <f t="shared" si="0"/>
        <v>0</v>
      </c>
      <c r="G35" s="96">
        <f t="shared" si="0"/>
        <v>0</v>
      </c>
      <c r="H35" s="96">
        <f t="shared" si="0"/>
        <v>0</v>
      </c>
      <c r="I35" s="139">
        <f>SUM(C35:H35)</f>
        <v>0</v>
      </c>
    </row>
    <row r="36" spans="1:9" x14ac:dyDescent="0.25">
      <c r="A36" s="34" t="s">
        <v>64</v>
      </c>
      <c r="B36" s="24"/>
      <c r="C36" s="138">
        <f t="shared" ref="C36:I36" si="1">C33-C35</f>
        <v>0</v>
      </c>
      <c r="D36" s="138">
        <f t="shared" si="1"/>
        <v>0</v>
      </c>
      <c r="E36" s="138">
        <f t="shared" si="1"/>
        <v>0</v>
      </c>
      <c r="F36" s="138">
        <f t="shared" si="1"/>
        <v>0</v>
      </c>
      <c r="G36" s="138">
        <f t="shared" si="1"/>
        <v>0</v>
      </c>
      <c r="H36" s="138">
        <f t="shared" si="1"/>
        <v>0</v>
      </c>
      <c r="I36" s="139">
        <f t="shared" si="1"/>
        <v>0</v>
      </c>
    </row>
    <row r="37" spans="1:9" ht="15.75" thickBot="1" x14ac:dyDescent="0.3">
      <c r="A37" s="59"/>
      <c r="B37" s="28"/>
      <c r="C37" s="28"/>
      <c r="D37" s="28"/>
      <c r="E37" s="28"/>
      <c r="F37" s="28"/>
      <c r="G37" s="28"/>
      <c r="H37" s="28"/>
      <c r="I37" s="55"/>
    </row>
    <row r="38" spans="1:9" ht="15.75" thickBot="1" x14ac:dyDescent="0.3"/>
    <row r="39" spans="1:9" x14ac:dyDescent="0.25">
      <c r="A39" s="134" t="s">
        <v>69</v>
      </c>
      <c r="B39" s="136"/>
      <c r="D39" s="147"/>
      <c r="E39" s="135"/>
      <c r="F39" s="136"/>
    </row>
    <row r="40" spans="1:9" x14ac:dyDescent="0.25">
      <c r="A40" s="34"/>
      <c r="B40" s="35"/>
      <c r="D40" s="34"/>
      <c r="E40" s="24"/>
      <c r="F40" s="35"/>
    </row>
    <row r="41" spans="1:9" x14ac:dyDescent="0.25">
      <c r="A41" s="34" t="s">
        <v>72</v>
      </c>
      <c r="B41" s="139">
        <f>F1</f>
        <v>500000</v>
      </c>
      <c r="D41" s="34" t="s">
        <v>121</v>
      </c>
      <c r="E41" s="24"/>
      <c r="F41" s="119">
        <f>B44</f>
        <v>0</v>
      </c>
    </row>
    <row r="42" spans="1:9" x14ac:dyDescent="0.25">
      <c r="A42" s="34"/>
      <c r="B42" s="35"/>
      <c r="D42" s="34"/>
      <c r="E42" s="24"/>
      <c r="F42" s="119"/>
    </row>
    <row r="43" spans="1:9" x14ac:dyDescent="0.25">
      <c r="A43" s="34" t="s">
        <v>73</v>
      </c>
      <c r="B43" s="139">
        <f>'Calc corp tax comb'!B10</f>
        <v>0</v>
      </c>
      <c r="D43" s="34" t="s">
        <v>122</v>
      </c>
      <c r="E43" s="24"/>
      <c r="F43" s="119">
        <f>F2</f>
        <v>500000</v>
      </c>
    </row>
    <row r="44" spans="1:9" x14ac:dyDescent="0.25">
      <c r="A44" s="34" t="s">
        <v>74</v>
      </c>
      <c r="B44" s="139">
        <f>I33</f>
        <v>0</v>
      </c>
      <c r="D44" s="34"/>
      <c r="E44" s="24"/>
      <c r="F44" s="119"/>
    </row>
    <row r="45" spans="1:9" x14ac:dyDescent="0.25">
      <c r="A45" s="34"/>
      <c r="B45" s="35"/>
      <c r="D45" s="34" t="s">
        <v>123</v>
      </c>
      <c r="E45" s="24"/>
      <c r="F45" s="119">
        <f>B10</f>
        <v>0</v>
      </c>
    </row>
    <row r="46" spans="1:9" x14ac:dyDescent="0.25">
      <c r="A46" s="34" t="s">
        <v>75</v>
      </c>
      <c r="B46" s="139">
        <f>B16</f>
        <v>61000</v>
      </c>
      <c r="D46" s="34"/>
      <c r="E46" s="24"/>
      <c r="F46" s="119"/>
    </row>
    <row r="47" spans="1:9" ht="30" customHeight="1" x14ac:dyDescent="0.25">
      <c r="A47" s="34"/>
      <c r="B47" s="35"/>
      <c r="D47" s="263" t="s">
        <v>124</v>
      </c>
      <c r="E47" s="264"/>
      <c r="F47" s="119">
        <f>F1-F45</f>
        <v>500000</v>
      </c>
    </row>
    <row r="48" spans="1:9" x14ac:dyDescent="0.25">
      <c r="A48" s="34" t="s">
        <v>76</v>
      </c>
      <c r="B48" s="139">
        <f>B41-B43-B44-B46</f>
        <v>439000</v>
      </c>
      <c r="D48" s="34"/>
      <c r="E48" s="24"/>
      <c r="F48" s="119"/>
    </row>
    <row r="49" spans="1:6" s="19" customFormat="1" x14ac:dyDescent="0.25">
      <c r="A49" s="34"/>
      <c r="B49" s="139"/>
      <c r="D49" s="34" t="s">
        <v>125</v>
      </c>
      <c r="E49" s="24"/>
      <c r="F49" s="119">
        <f>MIN(F41/0.845,MIN(F43,F47))</f>
        <v>0</v>
      </c>
    </row>
    <row r="50" spans="1:6" x14ac:dyDescent="0.25">
      <c r="A50" s="34" t="s">
        <v>128</v>
      </c>
      <c r="B50" s="141">
        <f>B65-F51-F55</f>
        <v>61000</v>
      </c>
      <c r="D50" s="34"/>
      <c r="E50" s="24"/>
      <c r="F50" s="119"/>
    </row>
    <row r="51" spans="1:6" x14ac:dyDescent="0.25">
      <c r="A51" s="34"/>
      <c r="B51" s="141"/>
      <c r="D51" s="39" t="s">
        <v>126</v>
      </c>
      <c r="E51" s="40"/>
      <c r="F51" s="150">
        <f>F49*0.122</f>
        <v>0</v>
      </c>
    </row>
    <row r="52" spans="1:6" x14ac:dyDescent="0.25">
      <c r="A52" s="34"/>
      <c r="B52" s="141"/>
      <c r="D52" s="34"/>
      <c r="E52" s="24"/>
      <c r="F52" s="119"/>
    </row>
    <row r="53" spans="1:6" s="19" customFormat="1" x14ac:dyDescent="0.25">
      <c r="A53" s="34"/>
      <c r="B53" s="141"/>
      <c r="D53" s="34" t="s">
        <v>127</v>
      </c>
      <c r="E53" s="24"/>
      <c r="F53" s="119">
        <f>IF(F47&gt;F49,(F41-F49*0.878)/0.735,0)</f>
        <v>0</v>
      </c>
    </row>
    <row r="54" spans="1:6" x14ac:dyDescent="0.25">
      <c r="A54" s="39" t="s">
        <v>77</v>
      </c>
      <c r="B54" s="144">
        <f>SUM(B48:B52)</f>
        <v>500000</v>
      </c>
      <c r="D54" s="34"/>
      <c r="E54" s="24"/>
      <c r="F54" s="119"/>
    </row>
    <row r="55" spans="1:6" ht="15.75" thickBot="1" x14ac:dyDescent="0.3">
      <c r="A55" s="34"/>
      <c r="B55" s="35"/>
      <c r="D55" s="92" t="s">
        <v>129</v>
      </c>
      <c r="E55" s="42"/>
      <c r="F55" s="178">
        <f>F53*0.265</f>
        <v>0</v>
      </c>
    </row>
    <row r="56" spans="1:6" x14ac:dyDescent="0.25">
      <c r="A56" s="34" t="s">
        <v>70</v>
      </c>
      <c r="B56" s="139">
        <f>F1</f>
        <v>500000</v>
      </c>
    </row>
    <row r="57" spans="1:6" x14ac:dyDescent="0.25">
      <c r="A57" s="34"/>
      <c r="B57" s="139"/>
    </row>
    <row r="58" spans="1:6" x14ac:dyDescent="0.25">
      <c r="A58" s="34" t="s">
        <v>0</v>
      </c>
      <c r="B58" s="139">
        <f>B10</f>
        <v>0</v>
      </c>
    </row>
    <row r="59" spans="1:6" x14ac:dyDescent="0.25">
      <c r="A59" s="34"/>
      <c r="B59" s="139"/>
    </row>
    <row r="60" spans="1:6" x14ac:dyDescent="0.25">
      <c r="A60" s="34" t="s">
        <v>71</v>
      </c>
      <c r="B60" s="139">
        <f>B56-B58</f>
        <v>500000</v>
      </c>
    </row>
    <row r="61" spans="1:6" x14ac:dyDescent="0.25">
      <c r="A61" s="34"/>
      <c r="B61" s="35"/>
    </row>
    <row r="62" spans="1:6" x14ac:dyDescent="0.25">
      <c r="A62" s="34"/>
      <c r="B62" s="35"/>
    </row>
    <row r="63" spans="1:6" x14ac:dyDescent="0.25">
      <c r="A63" s="39" t="s">
        <v>50</v>
      </c>
      <c r="B63" s="141">
        <f xml:space="preserve"> IF($F2&gt;$B60,$B60*0.122,$F2*0.122)</f>
        <v>61000</v>
      </c>
    </row>
    <row r="64" spans="1:6" x14ac:dyDescent="0.25">
      <c r="A64" s="39" t="s">
        <v>49</v>
      </c>
      <c r="B64" s="142">
        <f xml:space="preserve"> IF(($B60-$F2)*0.265&gt;0,($B60-$F2)*0.265,0)</f>
        <v>0</v>
      </c>
    </row>
    <row r="65" spans="1:2" x14ac:dyDescent="0.25">
      <c r="A65" s="39" t="s">
        <v>51</v>
      </c>
      <c r="B65" s="144">
        <f>SUM(B63:B64)</f>
        <v>61000</v>
      </c>
    </row>
    <row r="66" spans="1:2" x14ac:dyDescent="0.25">
      <c r="A66" s="34"/>
      <c r="B66" s="35"/>
    </row>
    <row r="67" spans="1:2" x14ac:dyDescent="0.25">
      <c r="A67" s="34"/>
      <c r="B67" s="35"/>
    </row>
    <row r="68" spans="1:2" ht="15.75" thickBot="1" x14ac:dyDescent="0.3">
      <c r="A68" s="92" t="s">
        <v>79</v>
      </c>
      <c r="B68" s="145">
        <f>B8-B16-B10-I33</f>
        <v>439000</v>
      </c>
    </row>
    <row r="69" spans="1:2" ht="15.75" thickBot="1" x14ac:dyDescent="0.3"/>
    <row r="70" spans="1:2" s="19" customFormat="1" x14ac:dyDescent="0.25">
      <c r="A70" s="134" t="s">
        <v>104</v>
      </c>
      <c r="B70" s="136"/>
    </row>
    <row r="71" spans="1:2" s="19" customFormat="1" x14ac:dyDescent="0.25">
      <c r="A71" s="34"/>
      <c r="B71" s="35"/>
    </row>
    <row r="72" spans="1:2" x14ac:dyDescent="0.25">
      <c r="A72" s="34" t="s">
        <v>46</v>
      </c>
      <c r="B72" s="88">
        <f>B28</f>
        <v>100000</v>
      </c>
    </row>
    <row r="73" spans="1:2" x14ac:dyDescent="0.25">
      <c r="A73" s="34"/>
      <c r="B73" s="35"/>
    </row>
    <row r="74" spans="1:2" x14ac:dyDescent="0.25">
      <c r="A74" s="34" t="s">
        <v>80</v>
      </c>
      <c r="B74" s="141">
        <f>IF(B72&lt;B68,B72*39.34%, B68*39.34%)</f>
        <v>39340</v>
      </c>
    </row>
    <row r="75" spans="1:2" x14ac:dyDescent="0.25">
      <c r="A75" s="34" t="s">
        <v>81</v>
      </c>
      <c r="B75" s="141">
        <f>IF(B68&gt;B72,(B68-B72)*47.74%,0)</f>
        <v>161838.6</v>
      </c>
    </row>
    <row r="76" spans="1:2" x14ac:dyDescent="0.25">
      <c r="A76" s="34"/>
      <c r="B76" s="35"/>
    </row>
    <row r="77" spans="1:2" x14ac:dyDescent="0.25">
      <c r="A77" s="34" t="s">
        <v>82</v>
      </c>
      <c r="B77" s="139">
        <f>SUM(B74:B75)</f>
        <v>201178.6</v>
      </c>
    </row>
    <row r="78" spans="1:2" ht="15.75" thickBot="1" x14ac:dyDescent="0.3">
      <c r="A78" s="59"/>
      <c r="B78" s="55"/>
    </row>
  </sheetData>
  <mergeCells count="1">
    <mergeCell ref="D47:E47"/>
  </mergeCells>
  <pageMargins left="0.7" right="0.7" top="0.75" bottom="0.75" header="0.3" footer="0.3"/>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
  <sheetViews>
    <sheetView workbookViewId="0">
      <selection activeCell="C2" sqref="C2"/>
    </sheetView>
  </sheetViews>
  <sheetFormatPr defaultRowHeight="15" x14ac:dyDescent="0.25"/>
  <cols>
    <col min="1" max="1" width="33" bestFit="1" customWidth="1"/>
    <col min="3" max="3" width="20.140625" customWidth="1"/>
    <col min="4" max="4" width="17.5703125" bestFit="1" customWidth="1"/>
  </cols>
  <sheetData>
    <row r="1" spans="1:3" ht="18.75" x14ac:dyDescent="0.3">
      <c r="A1" s="64" t="s">
        <v>36</v>
      </c>
      <c r="B1" s="65"/>
      <c r="C1" s="131">
        <v>900000</v>
      </c>
    </row>
    <row r="2" spans="1:3" ht="18.75" x14ac:dyDescent="0.3">
      <c r="A2" s="68" t="s">
        <v>83</v>
      </c>
      <c r="B2" s="62"/>
      <c r="C2" s="132">
        <v>500000</v>
      </c>
    </row>
    <row r="3" spans="1:3" ht="19.5" thickBot="1" x14ac:dyDescent="0.35">
      <c r="A3" s="69" t="s">
        <v>53</v>
      </c>
      <c r="B3" s="70"/>
      <c r="C3" s="133">
        <v>500000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2"/>
  <sheetViews>
    <sheetView workbookViewId="0">
      <selection activeCell="B17" sqref="B17"/>
    </sheetView>
  </sheetViews>
  <sheetFormatPr defaultRowHeight="15" x14ac:dyDescent="0.25"/>
  <cols>
    <col min="1" max="1" width="35.5703125" bestFit="1" customWidth="1"/>
    <col min="2" max="2" width="18.85546875" customWidth="1"/>
    <col min="3" max="3" width="17.5703125" bestFit="1" customWidth="1"/>
  </cols>
  <sheetData>
    <row r="1" spans="1:3" ht="18.75" x14ac:dyDescent="0.3">
      <c r="A1" s="64" t="s">
        <v>36</v>
      </c>
      <c r="B1" s="66"/>
      <c r="C1" s="67">
        <f>Input!C3</f>
        <v>500000</v>
      </c>
    </row>
    <row r="2" spans="1:3" ht="18.75" x14ac:dyDescent="0.3">
      <c r="A2" s="68" t="s">
        <v>83</v>
      </c>
      <c r="B2" s="63"/>
      <c r="C2" s="72">
        <f>Input!C4</f>
        <v>500000</v>
      </c>
    </row>
    <row r="3" spans="1:3" ht="19.5" thickBot="1" x14ac:dyDescent="0.35">
      <c r="A3" s="69" t="s">
        <v>53</v>
      </c>
      <c r="B3" s="71"/>
      <c r="C3" s="73">
        <f>Input!C5</f>
        <v>100000</v>
      </c>
    </row>
    <row r="4" spans="1:3" x14ac:dyDescent="0.25">
      <c r="A4" s="26"/>
      <c r="B4" s="26"/>
      <c r="C4" s="26"/>
    </row>
    <row r="5" spans="1:3" x14ac:dyDescent="0.25">
      <c r="A5" s="19"/>
      <c r="B5" s="19"/>
      <c r="C5" s="19"/>
    </row>
    <row r="6" spans="1:3" ht="15.75" thickBot="1" x14ac:dyDescent="0.3">
      <c r="A6" s="19"/>
      <c r="B6" s="19"/>
      <c r="C6" s="19"/>
    </row>
    <row r="7" spans="1:3" x14ac:dyDescent="0.25">
      <c r="A7" s="268" t="s">
        <v>100</v>
      </c>
      <c r="B7" s="269"/>
      <c r="C7" s="270"/>
    </row>
    <row r="8" spans="1:3" ht="30" x14ac:dyDescent="0.25">
      <c r="A8" s="54"/>
      <c r="B8" s="103" t="s">
        <v>84</v>
      </c>
      <c r="C8" s="130"/>
    </row>
    <row r="9" spans="1:3" x14ac:dyDescent="0.25">
      <c r="A9" s="52" t="s">
        <v>0</v>
      </c>
      <c r="B9" s="47">
        <f>Calculation!Y10</f>
        <v>0</v>
      </c>
      <c r="C9" s="38"/>
    </row>
    <row r="10" spans="1:3" x14ac:dyDescent="0.25">
      <c r="A10" s="53" t="s">
        <v>41</v>
      </c>
      <c r="B10" s="47">
        <f>SUM(B11:B12)</f>
        <v>0</v>
      </c>
      <c r="C10" s="93"/>
    </row>
    <row r="11" spans="1:3" x14ac:dyDescent="0.25">
      <c r="A11" s="90" t="s">
        <v>13</v>
      </c>
      <c r="B11" s="47">
        <f>Calculation!Y12</f>
        <v>0</v>
      </c>
      <c r="C11" s="38"/>
    </row>
    <row r="12" spans="1:3" x14ac:dyDescent="0.25">
      <c r="A12" s="91" t="s">
        <v>30</v>
      </c>
      <c r="B12" s="47">
        <f>Calculation!Y14</f>
        <v>0</v>
      </c>
      <c r="C12" s="38"/>
    </row>
    <row r="13" spans="1:3" x14ac:dyDescent="0.25">
      <c r="A13" s="37"/>
      <c r="B13" s="24"/>
      <c r="C13" s="56"/>
    </row>
    <row r="14" spans="1:3" x14ac:dyDescent="0.25">
      <c r="A14" s="37" t="s">
        <v>85</v>
      </c>
      <c r="B14" s="129">
        <f>ROUNDDOWN('Calc corp tax comb'!B68,0)</f>
        <v>439000</v>
      </c>
      <c r="C14" s="56"/>
    </row>
    <row r="15" spans="1:3" x14ac:dyDescent="0.25">
      <c r="A15" s="37"/>
      <c r="B15" s="24"/>
      <c r="C15" s="56"/>
    </row>
    <row r="16" spans="1:3" x14ac:dyDescent="0.25">
      <c r="A16" s="34" t="s">
        <v>39</v>
      </c>
      <c r="B16" s="44">
        <f>Calculation!Y77</f>
        <v>0</v>
      </c>
      <c r="C16" s="38"/>
    </row>
    <row r="17" spans="1:3" x14ac:dyDescent="0.25">
      <c r="A17" s="34" t="s">
        <v>40</v>
      </c>
      <c r="B17" s="44">
        <f>Calculation!Y76</f>
        <v>61000</v>
      </c>
      <c r="C17" s="38"/>
    </row>
    <row r="18" spans="1:3" x14ac:dyDescent="0.25">
      <c r="A18" s="34" t="s">
        <v>26</v>
      </c>
      <c r="B18" s="44">
        <f>Calculation!Y67</f>
        <v>0</v>
      </c>
      <c r="C18" s="35"/>
    </row>
    <row r="19" spans="1:3" x14ac:dyDescent="0.25">
      <c r="A19" s="39" t="s">
        <v>18</v>
      </c>
      <c r="B19" s="40"/>
      <c r="C19" s="57">
        <f>SUM(B16:B18)</f>
        <v>61000</v>
      </c>
    </row>
    <row r="20" spans="1:3" x14ac:dyDescent="0.25">
      <c r="A20" s="39" t="s">
        <v>19</v>
      </c>
      <c r="B20" s="40"/>
      <c r="C20" s="58">
        <f>C19/C1</f>
        <v>0.122</v>
      </c>
    </row>
    <row r="21" spans="1:3" x14ac:dyDescent="0.25">
      <c r="A21" s="39"/>
      <c r="B21" s="40"/>
      <c r="C21" s="58"/>
    </row>
    <row r="22" spans="1:3" ht="15.75" thickBot="1" x14ac:dyDescent="0.3">
      <c r="A22" s="92" t="s">
        <v>52</v>
      </c>
      <c r="B22" s="46">
        <f>ROUND('Calc corp tax comb'!B77,0)</f>
        <v>201179</v>
      </c>
      <c r="C22" s="43"/>
    </row>
  </sheetData>
  <mergeCells count="1">
    <mergeCell ref="A7:C7"/>
  </mergeCells>
  <dataValidations count="2">
    <dataValidation type="whole" allowBlank="1" showInputMessage="1" showErrorMessage="1" sqref="B12">
      <formula1>0</formula1>
      <formula2>#REF!-#REF!</formula2>
    </dataValidation>
    <dataValidation type="whole" allowBlank="1" showInputMessage="1" showErrorMessage="1" sqref="B9">
      <formula1>0</formula1>
      <formula2>C1-B11</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B11"/>
  <sheetViews>
    <sheetView workbookViewId="0">
      <selection activeCell="B11" sqref="B11"/>
    </sheetView>
  </sheetViews>
  <sheetFormatPr defaultRowHeight="15" x14ac:dyDescent="0.25"/>
  <cols>
    <col min="1" max="1" width="14.140625" style="155" customWidth="1"/>
    <col min="2" max="2" width="13.7109375" bestFit="1" customWidth="1"/>
  </cols>
  <sheetData>
    <row r="3" spans="1:2" x14ac:dyDescent="0.25">
      <c r="A3" s="154" t="s">
        <v>11</v>
      </c>
      <c r="B3" s="153">
        <f>SUM(Input!B23:B24)</f>
        <v>61000</v>
      </c>
    </row>
    <row r="4" spans="1:2" x14ac:dyDescent="0.25">
      <c r="B4" s="3"/>
    </row>
    <row r="5" spans="1:2" x14ac:dyDescent="0.25">
      <c r="A5" s="154" t="s">
        <v>108</v>
      </c>
      <c r="B5" s="153">
        <f>Input!B25</f>
        <v>0</v>
      </c>
    </row>
    <row r="6" spans="1:2" s="19" customFormat="1" x14ac:dyDescent="0.25">
      <c r="A6" s="154"/>
      <c r="B6" s="153"/>
    </row>
    <row r="7" spans="1:2" s="19" customFormat="1" x14ac:dyDescent="0.25">
      <c r="A7" s="154" t="s">
        <v>110</v>
      </c>
      <c r="B7" s="153">
        <f>SUM(B3:B5)</f>
        <v>61000</v>
      </c>
    </row>
    <row r="8" spans="1:2" x14ac:dyDescent="0.25">
      <c r="B8" s="3"/>
    </row>
    <row r="9" spans="1:2" ht="45" x14ac:dyDescent="0.25">
      <c r="A9" s="156" t="s">
        <v>78</v>
      </c>
      <c r="B9" s="153">
        <f>Input!C32</f>
        <v>0</v>
      </c>
    </row>
    <row r="10" spans="1:2" x14ac:dyDescent="0.25">
      <c r="B10" s="3"/>
    </row>
    <row r="11" spans="1:2" x14ac:dyDescent="0.25">
      <c r="A11" s="154" t="s">
        <v>109</v>
      </c>
      <c r="B11" s="153">
        <f>Input!C30</f>
        <v>201178</v>
      </c>
    </row>
  </sheetData>
  <pageMargins left="0.7" right="0.7" top="0.75" bottom="0.75" header="0.3" footer="0.3"/>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5" sqref="G25"/>
    </sheetView>
  </sheetViews>
  <sheetFormatPr defaultRowHeight="15" x14ac:dyDescent="0.25"/>
  <sheetData>
    <row r="1" spans="1:1" x14ac:dyDescent="0.25">
      <c r="A1"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Input</vt:lpstr>
      <vt:lpstr>Input!Print_Area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Cadesky Tax</dc:creator>
  <cp:lastModifiedBy>Windows</cp:lastModifiedBy>
  <cp:lastPrinted>2014-11-10T14:12:52Z</cp:lastPrinted>
  <dcterms:created xsi:type="dcterms:W3CDTF">2014-08-15T19:06:38Z</dcterms:created>
  <dcterms:modified xsi:type="dcterms:W3CDTF">2021-12-09T16:29:35Z</dcterms:modified>
</cp:coreProperties>
</file>